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lwia\Desktop\uchwały 18 02 2025\Uchwała XVIII 97 2025\"/>
    </mc:Choice>
  </mc:AlternateContent>
  <bookViews>
    <workbookView xWindow="0" yWindow="0" windowWidth="1968" windowHeight="0"/>
  </bookViews>
  <sheets>
    <sheet name="Załącznik 1" sheetId="1" r:id="rId1"/>
  </sheets>
  <calcPr calcId="152511"/>
</workbook>
</file>

<file path=xl/calcChain.xml><?xml version="1.0" encoding="utf-8"?>
<calcChain xmlns="http://schemas.openxmlformats.org/spreadsheetml/2006/main">
  <c r="Z101" i="1" l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Z50" i="1"/>
  <c r="Y50" i="1"/>
  <c r="X50" i="1"/>
  <c r="W50" i="1"/>
  <c r="V50" i="1"/>
  <c r="U50" i="1"/>
  <c r="T50" i="1"/>
  <c r="S50" i="1"/>
  <c r="S47" i="1" s="1"/>
  <c r="S63" i="1" s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C47" i="1" s="1"/>
  <c r="C63" i="1" s="1"/>
  <c r="Z47" i="1"/>
  <c r="Z63" i="1" s="1"/>
  <c r="Y47" i="1"/>
  <c r="Y63" i="1" s="1"/>
  <c r="X47" i="1"/>
  <c r="X63" i="1" s="1"/>
  <c r="W47" i="1"/>
  <c r="W63" i="1" s="1"/>
  <c r="V47" i="1"/>
  <c r="V63" i="1" s="1"/>
  <c r="U47" i="1"/>
  <c r="U63" i="1" s="1"/>
  <c r="T47" i="1"/>
  <c r="T63" i="1" s="1"/>
  <c r="R47" i="1"/>
  <c r="R63" i="1" s="1"/>
  <c r="Q47" i="1"/>
  <c r="Q63" i="1" s="1"/>
  <c r="P47" i="1"/>
  <c r="P63" i="1" s="1"/>
  <c r="O47" i="1"/>
  <c r="O63" i="1" s="1"/>
  <c r="N47" i="1"/>
  <c r="N63" i="1" s="1"/>
  <c r="M47" i="1"/>
  <c r="M63" i="1" s="1"/>
  <c r="L47" i="1"/>
  <c r="L63" i="1" s="1"/>
  <c r="K47" i="1"/>
  <c r="K63" i="1" s="1"/>
  <c r="J47" i="1"/>
  <c r="J63" i="1" s="1"/>
  <c r="I47" i="1"/>
  <c r="I63" i="1" s="1"/>
  <c r="H47" i="1"/>
  <c r="H63" i="1" s="1"/>
  <c r="G47" i="1"/>
  <c r="G63" i="1" s="1"/>
  <c r="F47" i="1"/>
  <c r="F63" i="1" s="1"/>
  <c r="E47" i="1"/>
  <c r="E63" i="1" s="1"/>
  <c r="D47" i="1"/>
  <c r="D63" i="1" s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18" i="1"/>
  <c r="Y18" i="1"/>
  <c r="X18" i="1"/>
  <c r="W18" i="1"/>
  <c r="V18" i="1"/>
  <c r="U18" i="1"/>
  <c r="T18" i="1"/>
  <c r="S18" i="1"/>
  <c r="S17" i="1" s="1"/>
  <c r="R18" i="1"/>
  <c r="Q18" i="1"/>
  <c r="P18" i="1"/>
  <c r="O18" i="1"/>
  <c r="N18" i="1"/>
  <c r="M18" i="1"/>
  <c r="L18" i="1"/>
  <c r="K18" i="1"/>
  <c r="K17" i="1" s="1"/>
  <c r="J18" i="1"/>
  <c r="I18" i="1"/>
  <c r="H18" i="1"/>
  <c r="G18" i="1"/>
  <c r="F18" i="1"/>
  <c r="E18" i="1"/>
  <c r="D18" i="1"/>
  <c r="C18" i="1"/>
  <c r="C17" i="1" s="1"/>
  <c r="Z17" i="1"/>
  <c r="Y17" i="1"/>
  <c r="X17" i="1"/>
  <c r="W17" i="1"/>
  <c r="V17" i="1"/>
  <c r="U17" i="1"/>
  <c r="T17" i="1"/>
  <c r="R17" i="1"/>
  <c r="Q17" i="1"/>
  <c r="P17" i="1"/>
  <c r="O17" i="1"/>
  <c r="N17" i="1"/>
  <c r="M17" i="1"/>
  <c r="L17" i="1"/>
  <c r="J17" i="1"/>
  <c r="I17" i="1"/>
  <c r="H17" i="1"/>
  <c r="G17" i="1"/>
  <c r="F17" i="1"/>
  <c r="E17" i="1"/>
  <c r="D17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5" i="1"/>
  <c r="Z65" i="1" s="1"/>
  <c r="Y5" i="1"/>
  <c r="Y65" i="1" s="1"/>
  <c r="X5" i="1"/>
  <c r="X65" i="1" s="1"/>
  <c r="W5" i="1"/>
  <c r="W65" i="1" s="1"/>
  <c r="V5" i="1"/>
  <c r="V65" i="1" s="1"/>
  <c r="U5" i="1"/>
  <c r="U65" i="1" s="1"/>
  <c r="T5" i="1"/>
  <c r="T65" i="1" s="1"/>
  <c r="S5" i="1"/>
  <c r="S60" i="1" s="1"/>
  <c r="S61" i="1" s="1"/>
  <c r="R5" i="1"/>
  <c r="R65" i="1" s="1"/>
  <c r="Q5" i="1"/>
  <c r="Q65" i="1" s="1"/>
  <c r="P5" i="1"/>
  <c r="P65" i="1" s="1"/>
  <c r="O5" i="1"/>
  <c r="O65" i="1" s="1"/>
  <c r="N5" i="1"/>
  <c r="N65" i="1" s="1"/>
  <c r="M5" i="1"/>
  <c r="M65" i="1" s="1"/>
  <c r="L5" i="1"/>
  <c r="L65" i="1" s="1"/>
  <c r="K5" i="1"/>
  <c r="K64" i="1" s="1"/>
  <c r="J5" i="1"/>
  <c r="J65" i="1" s="1"/>
  <c r="I5" i="1"/>
  <c r="I65" i="1" s="1"/>
  <c r="H5" i="1"/>
  <c r="H4" i="1" s="1"/>
  <c r="G5" i="1"/>
  <c r="G65" i="1" s="1"/>
  <c r="F5" i="1"/>
  <c r="F65" i="1" s="1"/>
  <c r="E5" i="1"/>
  <c r="E4" i="1" s="1"/>
  <c r="D5" i="1"/>
  <c r="D4" i="1" s="1"/>
  <c r="C5" i="1"/>
  <c r="C4" i="1" s="1"/>
  <c r="Z4" i="1"/>
  <c r="Z105" i="1" s="1"/>
  <c r="Y4" i="1"/>
  <c r="Y105" i="1" s="1"/>
  <c r="X4" i="1"/>
  <c r="X105" i="1" s="1"/>
  <c r="W4" i="1"/>
  <c r="W105" i="1" s="1"/>
  <c r="V4" i="1"/>
  <c r="V105" i="1" s="1"/>
  <c r="U4" i="1"/>
  <c r="U105" i="1" s="1"/>
  <c r="T4" i="1"/>
  <c r="T105" i="1" s="1"/>
  <c r="R4" i="1"/>
  <c r="R105" i="1" s="1"/>
  <c r="Q4" i="1"/>
  <c r="Q105" i="1" s="1"/>
  <c r="P4" i="1"/>
  <c r="P105" i="1" s="1"/>
  <c r="O4" i="1"/>
  <c r="O105" i="1" s="1"/>
  <c r="N4" i="1"/>
  <c r="N105" i="1" s="1"/>
  <c r="M4" i="1"/>
  <c r="M105" i="1" s="1"/>
  <c r="L4" i="1"/>
  <c r="L105" i="1" s="1"/>
  <c r="J4" i="1"/>
  <c r="J105" i="1" s="1"/>
  <c r="I4" i="1"/>
  <c r="I105" i="1" s="1"/>
  <c r="G4" i="1"/>
  <c r="G105" i="1" s="1"/>
  <c r="F4" i="1"/>
  <c r="F105" i="1" s="1"/>
  <c r="C69" i="1" l="1"/>
  <c r="C68" i="1"/>
  <c r="H105" i="1"/>
  <c r="H32" i="1"/>
  <c r="D69" i="1"/>
  <c r="D68" i="1"/>
  <c r="E69" i="1"/>
  <c r="E68" i="1"/>
  <c r="F69" i="1"/>
  <c r="F68" i="1"/>
  <c r="C32" i="1"/>
  <c r="C105" i="1"/>
  <c r="G69" i="1"/>
  <c r="G68" i="1"/>
  <c r="H69" i="1"/>
  <c r="H68" i="1"/>
  <c r="J69" i="1"/>
  <c r="J68" i="1"/>
  <c r="D105" i="1"/>
  <c r="D32" i="1"/>
  <c r="E105" i="1"/>
  <c r="E32" i="1"/>
  <c r="I69" i="1"/>
  <c r="I68" i="1"/>
  <c r="K4" i="1"/>
  <c r="K59" i="1"/>
  <c r="C64" i="1"/>
  <c r="S65" i="1"/>
  <c r="L32" i="1"/>
  <c r="T32" i="1"/>
  <c r="D59" i="1"/>
  <c r="L59" i="1"/>
  <c r="T59" i="1"/>
  <c r="D60" i="1"/>
  <c r="D61" i="1" s="1"/>
  <c r="L60" i="1"/>
  <c r="L61" i="1" s="1"/>
  <c r="T60" i="1"/>
  <c r="T61" i="1" s="1"/>
  <c r="D64" i="1"/>
  <c r="L64" i="1"/>
  <c r="T64" i="1"/>
  <c r="D65" i="1"/>
  <c r="C59" i="1"/>
  <c r="K60" i="1"/>
  <c r="K61" i="1" s="1"/>
  <c r="K65" i="1"/>
  <c r="M32" i="1"/>
  <c r="U32" i="1"/>
  <c r="E59" i="1"/>
  <c r="M59" i="1"/>
  <c r="U59" i="1"/>
  <c r="E60" i="1"/>
  <c r="E61" i="1" s="1"/>
  <c r="M60" i="1"/>
  <c r="M61" i="1" s="1"/>
  <c r="U60" i="1"/>
  <c r="U61" i="1" s="1"/>
  <c r="E64" i="1"/>
  <c r="M64" i="1"/>
  <c r="U64" i="1"/>
  <c r="E65" i="1"/>
  <c r="S64" i="1"/>
  <c r="F32" i="1"/>
  <c r="N32" i="1"/>
  <c r="V32" i="1"/>
  <c r="F59" i="1"/>
  <c r="N59" i="1"/>
  <c r="V59" i="1"/>
  <c r="F60" i="1"/>
  <c r="F61" i="1" s="1"/>
  <c r="N60" i="1"/>
  <c r="N61" i="1" s="1"/>
  <c r="V60" i="1"/>
  <c r="V61" i="1" s="1"/>
  <c r="F64" i="1"/>
  <c r="N64" i="1"/>
  <c r="V64" i="1"/>
  <c r="C60" i="1"/>
  <c r="C61" i="1" s="1"/>
  <c r="C65" i="1"/>
  <c r="G32" i="1"/>
  <c r="O32" i="1"/>
  <c r="W32" i="1"/>
  <c r="G59" i="1"/>
  <c r="O59" i="1"/>
  <c r="W59" i="1"/>
  <c r="G60" i="1"/>
  <c r="G61" i="1" s="1"/>
  <c r="O60" i="1"/>
  <c r="O61" i="1" s="1"/>
  <c r="W60" i="1"/>
  <c r="W61" i="1" s="1"/>
  <c r="G64" i="1"/>
  <c r="O64" i="1"/>
  <c r="W64" i="1"/>
  <c r="P32" i="1"/>
  <c r="X32" i="1"/>
  <c r="H59" i="1"/>
  <c r="P59" i="1"/>
  <c r="X59" i="1"/>
  <c r="H60" i="1"/>
  <c r="H61" i="1" s="1"/>
  <c r="P60" i="1"/>
  <c r="P61" i="1" s="1"/>
  <c r="X60" i="1"/>
  <c r="X61" i="1" s="1"/>
  <c r="H64" i="1"/>
  <c r="P64" i="1"/>
  <c r="X64" i="1"/>
  <c r="H65" i="1"/>
  <c r="S4" i="1"/>
  <c r="S59" i="1"/>
  <c r="I32" i="1"/>
  <c r="Q32" i="1"/>
  <c r="Y32" i="1"/>
  <c r="I59" i="1"/>
  <c r="Q59" i="1"/>
  <c r="Y59" i="1"/>
  <c r="I60" i="1"/>
  <c r="I61" i="1" s="1"/>
  <c r="Q60" i="1"/>
  <c r="Q61" i="1" s="1"/>
  <c r="Y60" i="1"/>
  <c r="Y61" i="1" s="1"/>
  <c r="I64" i="1"/>
  <c r="Q64" i="1"/>
  <c r="Y64" i="1"/>
  <c r="J32" i="1"/>
  <c r="R32" i="1"/>
  <c r="Z32" i="1"/>
  <c r="J59" i="1"/>
  <c r="R59" i="1"/>
  <c r="Z59" i="1"/>
  <c r="J60" i="1"/>
  <c r="J61" i="1" s="1"/>
  <c r="R60" i="1"/>
  <c r="R61" i="1" s="1"/>
  <c r="Z60" i="1"/>
  <c r="Z61" i="1" s="1"/>
  <c r="J64" i="1"/>
  <c r="R64" i="1"/>
  <c r="Z64" i="1"/>
  <c r="O104" i="1" l="1"/>
  <c r="O33" i="1"/>
  <c r="Z67" i="1"/>
  <c r="Z69" i="1" s="1"/>
  <c r="Z66" i="1"/>
  <c r="Z68" i="1" s="1"/>
  <c r="L67" i="1"/>
  <c r="L69" i="1" s="1"/>
  <c r="L66" i="1"/>
  <c r="L68" i="1" s="1"/>
  <c r="D104" i="1"/>
  <c r="D33" i="1"/>
  <c r="Y67" i="1"/>
  <c r="Y69" i="1" s="1"/>
  <c r="Y66" i="1"/>
  <c r="Y68" i="1" s="1"/>
  <c r="Z104" i="1"/>
  <c r="Z33" i="1"/>
  <c r="S32" i="1"/>
  <c r="S105" i="1"/>
  <c r="G104" i="1"/>
  <c r="G33" i="1"/>
  <c r="M67" i="1"/>
  <c r="M69" i="1" s="1"/>
  <c r="M66" i="1"/>
  <c r="M68" i="1" s="1"/>
  <c r="R104" i="1"/>
  <c r="R33" i="1"/>
  <c r="P67" i="1"/>
  <c r="P69" i="1" s="1"/>
  <c r="P66" i="1"/>
  <c r="P68" i="1" s="1"/>
  <c r="K66" i="1"/>
  <c r="K68" i="1" s="1"/>
  <c r="K67" i="1"/>
  <c r="K69" i="1" s="1"/>
  <c r="S66" i="1"/>
  <c r="S68" i="1" s="1"/>
  <c r="S67" i="1"/>
  <c r="S69" i="1" s="1"/>
  <c r="T104" i="1"/>
  <c r="T33" i="1"/>
  <c r="N66" i="1"/>
  <c r="N68" i="1" s="1"/>
  <c r="R66" i="1"/>
  <c r="R68" i="1" s="1"/>
  <c r="J104" i="1"/>
  <c r="J33" i="1"/>
  <c r="T67" i="1"/>
  <c r="T69" i="1" s="1"/>
  <c r="T66" i="1"/>
  <c r="T68" i="1" s="1"/>
  <c r="U104" i="1"/>
  <c r="U33" i="1"/>
  <c r="L104" i="1"/>
  <c r="L33" i="1"/>
  <c r="N67" i="1"/>
  <c r="N69" i="1" s="1"/>
  <c r="R67" i="1"/>
  <c r="R69" i="1" s="1"/>
  <c r="Q66" i="1"/>
  <c r="Q68" i="1" s="1"/>
  <c r="W67" i="1"/>
  <c r="W69" i="1" s="1"/>
  <c r="W66" i="1"/>
  <c r="W68" i="1" s="1"/>
  <c r="X104" i="1"/>
  <c r="X33" i="1"/>
  <c r="M104" i="1"/>
  <c r="M33" i="1"/>
  <c r="H104" i="1"/>
  <c r="H33" i="1"/>
  <c r="O66" i="1"/>
  <c r="O68" i="1" s="1"/>
  <c r="P104" i="1"/>
  <c r="P33" i="1"/>
  <c r="U67" i="1"/>
  <c r="U69" i="1" s="1"/>
  <c r="U66" i="1"/>
  <c r="U68" i="1" s="1"/>
  <c r="V104" i="1"/>
  <c r="V33" i="1"/>
  <c r="C33" i="1"/>
  <c r="C104" i="1"/>
  <c r="O67" i="1"/>
  <c r="O69" i="1" s="1"/>
  <c r="Q104" i="1"/>
  <c r="Q33" i="1"/>
  <c r="N104" i="1"/>
  <c r="N33" i="1"/>
  <c r="E104" i="1"/>
  <c r="E33" i="1"/>
  <c r="Q67" i="1"/>
  <c r="Q69" i="1" s="1"/>
  <c r="X67" i="1"/>
  <c r="X69" i="1" s="1"/>
  <c r="X66" i="1"/>
  <c r="X68" i="1" s="1"/>
  <c r="Y104" i="1"/>
  <c r="Y33" i="1"/>
  <c r="I104" i="1"/>
  <c r="I33" i="1"/>
  <c r="V67" i="1"/>
  <c r="V69" i="1" s="1"/>
  <c r="V66" i="1"/>
  <c r="V68" i="1" s="1"/>
  <c r="W104" i="1"/>
  <c r="W33" i="1"/>
  <c r="F104" i="1"/>
  <c r="F33" i="1"/>
  <c r="K105" i="1"/>
  <c r="K32" i="1"/>
  <c r="K33" i="1" l="1"/>
  <c r="K104" i="1"/>
  <c r="S104" i="1"/>
  <c r="S33" i="1"/>
</calcChain>
</file>

<file path=xl/sharedStrings.xml><?xml version="1.0" encoding="utf-8"?>
<sst xmlns="http://schemas.openxmlformats.org/spreadsheetml/2006/main" count="328" uniqueCount="224">
  <si>
    <t>Lp.</t>
  </si>
  <si>
    <t>Wyszczególnienie</t>
  </si>
  <si>
    <t>2018</t>
  </si>
  <si>
    <t>2019</t>
  </si>
  <si>
    <t>2020</t>
  </si>
  <si>
    <t>2021</t>
  </si>
  <si>
    <t>2022</t>
  </si>
  <si>
    <t>2023</t>
  </si>
  <si>
    <t>2024 3kw.</t>
  </si>
  <si>
    <t>2024 pw.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</si>
  <si>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</si>
  <si>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</si>
  <si>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</si>
  <si>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</si>
  <si>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</si>
  <si>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</si>
  <si>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</si>
  <si>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</si>
  <si>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</si>
  <si>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</si>
  <si>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</si>
  <si>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</si>
  <si>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</si>
  <si>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</si>
  <si>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</si>
  <si>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</si>
  <si>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1</t>
  </si>
  <si>
    <t>Dochody ogółem</t>
  </si>
  <si>
    <t>1.1</t>
  </si>
  <si>
    <t>Dochody bieżące, z tego:</t>
  </si>
  <si>
    <t>1.1.1</t>
  </si>
  <si>
    <t>dochody z tytułu udziału we wpływach z podatku dochodowego od osób fizycznych</t>
  </si>
  <si>
    <t>1.1.2</t>
  </si>
  <si>
    <t>dochody z tytułu udziału we wpływach z 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</si>
  <si>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</si>
  <si>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</si>
  <si>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</si>
  <si>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</si>
  <si>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</si>
  <si>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 tym:</t>
  </si>
  <si>
    <t>1.1.5.1</t>
  </si>
  <si>
    <t>z podatku od nieruchomości</t>
  </si>
  <si>
    <t>1.1.x</t>
  </si>
  <si>
    <t>Inne</t>
  </si>
  <si>
    <t>1.2</t>
  </si>
  <si>
    <t>Dochody majątkowe, w tym:</t>
  </si>
  <si>
    <t>1.2.1</t>
  </si>
  <si>
    <t>ze sprzedaży majątku</t>
  </si>
  <si>
    <t>1.2.2</t>
  </si>
  <si>
    <t>z tytułu dotacji oraz środków przeznaczonych na inwestycje</t>
  </si>
  <si>
    <t>1.2.x</t>
  </si>
  <si>
    <t>2</t>
  </si>
  <si>
    <t>Wydatki ogółem</t>
  </si>
  <si>
    <t>2.1</t>
  </si>
  <si>
    <t>Wydatki bieżące, w tym:</t>
  </si>
  <si>
    <t>2.1.1</t>
  </si>
  <si>
    <t>na wynagrodzenia i składki od nich naliczane</t>
  </si>
  <si>
    <t>2.1.2</t>
  </si>
  <si>
    <t>z tytułu poręczeń i gwarancji, w tym:</t>
  </si>
  <si>
    <t>2.1.2.1</t>
  </si>
  <si>
    <t>gwarancje i poręczenia podlegające wyłączeniu z limitu spłaty zobowiązań, o którym mowa w art. 243 ustawy</t>
  </si>
  <si>
    <t>2.1.3</t>
  </si>
  <si>
    <t>wydatki na obsługę długu, w tym:</t>
  </si>
  <si>
    <t>2.1.3.x</t>
  </si>
  <si>
    <t>odsetki i dyskonto</t>
  </si>
  <si>
    <t>2.1.3.1</t>
  </si>
  <si>
    <t>odsetki i dyskonto podlegające wyłączeniu z limitu spłaty zobowiązań, o którym mowa w art. 243 ustawy, w 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</si>
  <si>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</si>
  <si>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 limitu spłaty zobowiązań, o 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</si>
  <si>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</si>
  <si>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</si>
  <si>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2.1.x</t>
  </si>
  <si>
    <t>2.2</t>
  </si>
  <si>
    <t>Wydatki majątkowe, w tym:</t>
  </si>
  <si>
    <t>2.2.1</t>
  </si>
  <si>
    <t>Inwestycje i zakupy inwestycyjne, o których mowa w art. 236 ust. 4 pkt 1 ustawy, w tym:</t>
  </si>
  <si>
    <t>2.2.1.1</t>
  </si>
  <si>
    <t>wydatki o charakterze dotacyjnym na inwestycje i zakupy inwestycyjne</t>
  </si>
  <si>
    <t>2.2.x</t>
  </si>
  <si>
    <t>3</t>
  </si>
  <si>
    <t>Wynik budżetu</t>
  </si>
  <si>
    <t>3.1</t>
  </si>
  <si>
    <t>Kwota prognozowanej nadwyżki budżetu przeznaczana na spłatę kredytów, pożyczek i wykup papierów wartościowych</t>
  </si>
  <si>
    <t>4</t>
  </si>
  <si>
    <t>Przychody budżetu</t>
  </si>
  <si>
    <t>4.1</t>
  </si>
  <si>
    <t>Kredyty, pożyczki, emisja papierów wartościowych, w tym:</t>
  </si>
  <si>
    <t>4.1.1</t>
  </si>
  <si>
    <t>na pokrycie deficytu budżetu</t>
  </si>
  <si>
    <t>4.2</t>
  </si>
  <si>
    <t>Nadwyżka budżetowa z lat ubiegłych, w tym:</t>
  </si>
  <si>
    <t>4.2.1</t>
  </si>
  <si>
    <t>4.3</t>
  </si>
  <si>
    <t>Wolne środki, o których mowa w art. 217 ust. 2 pkt 6 ustawy, w tym:</t>
  </si>
  <si>
    <t>4.3.1</t>
  </si>
  <si>
    <t>4.4</t>
  </si>
  <si>
    <t>Spłaty udzielonych pożyczek w latach ubiegłych, w tym:</t>
  </si>
  <si>
    <t>4.4.1</t>
  </si>
  <si>
    <t>4.5</t>
  </si>
  <si>
    <t>Inne przychody niezwiązane z zaciągnięciem długu, w tym:</t>
  </si>
  <si>
    <t>4.5.1</t>
  </si>
  <si>
    <t>5</t>
  </si>
  <si>
    <t>Rozchody budżetu</t>
  </si>
  <si>
    <t>5.1</t>
  </si>
  <si>
    <t>Spłaty rat kapitałowych kredytów i pożyczek oraz wykup papierów wartościowych, w 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</si>
  <si>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</si>
  <si>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</si>
  <si>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</si>
  <si>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 art. 243 ust. 3 ustawy</t>
  </si>
  <si>
    <t>5.1.1.2</t>
  </si>
  <si>
    <t>kwota przypadających na dany rok kwot wyłączeń określonych w art. 243 ust. 3a ustawy</t>
  </si>
  <si>
    <t>5.1.1.3</t>
  </si>
  <si>
    <t>kwota wyłączeń z tytułu wcześniejszej spłaty zobowiązań, określonych w art. 243 ust. 3b ustawy, z tego:</t>
  </si>
  <si>
    <t>5.1.1.3.1</t>
  </si>
  <si>
    <t>środkami nowego zobowiązania</t>
  </si>
  <si>
    <t>5.1.1.3.2</t>
  </si>
  <si>
    <t>wolnymi środkami, o których mowa w art. 217 ust. 2 pkt 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</si>
  <si>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</si>
  <si>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</si>
  <si>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</si>
  <si>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</si>
  <si>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</si>
  <si>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rozchody, niezwiązane ze spłatą długu</t>
  </si>
  <si>
    <t>6</t>
  </si>
  <si>
    <t>Kwota długu, w tym:</t>
  </si>
  <si>
    <t>6.1</t>
  </si>
  <si>
    <t>kwota długu, którego planowana spłata dokona się z wydatków</t>
  </si>
  <si>
    <t>7</t>
  </si>
  <si>
    <t>Relacja zrównoważenia wydatków bieżących, o której mowa w art. 242 ustawy</t>
  </si>
  <si>
    <t/>
  </si>
  <si>
    <t>7.1</t>
  </si>
  <si>
    <t>Różnica między dochodami bieżącymi a wydatkami bieżącymi</t>
  </si>
  <si>
    <t>7.2</t>
  </si>
  <si>
    <t>Różnica między dochodami bieżącymi, skorygowanymi o środki, a wydatkami bieżącymi</t>
  </si>
  <si>
    <t>7.2.x</t>
  </si>
  <si>
    <t>Relacja z art. 242 ust. 1 ustawy o finansach publicznych skorygowana o planowane wydatki bieżące na realizację zadań związanych z pomocom obywatelom Ukrainy oraz organizacją Igrzysk</t>
  </si>
  <si>
    <t>8</t>
  </si>
  <si>
    <t>Wskaźnik spłaty zobowiązań</t>
  </si>
  <si>
    <t>8.1</t>
  </si>
  <si>
    <t>Relacja określona po lewej stronie nierówności we wzorze, o którym mowa w art. 243 ust. 1 ustawy (po uwzględnieniu zobowiązań związku współtworzonego przez jednostkę samorządu terytorialnego oraz po uwzględnieniu ustawowych wyłączeń przypadających na dany rok)</t>
  </si>
  <si>
    <t>8.2</t>
  </si>
  <si>
    <t>Relacja określona po prawej stronie nierówności we wzorze, o którym mowa w art. 243 ust. 1 ustawy, ustalona dla danego roku (wkaźnik jednoroczny)</t>
  </si>
  <si>
    <t>8.2.x</t>
  </si>
  <si>
    <t>Wskaźnik jednoroczny określony po prawej stronie nierówności we wzorze, o którym mowa w art. 243 ust. 1 ustawy, ustalony dla danego roku (wskaźnik jednoroczny)</t>
  </si>
  <si>
    <t>8.3</t>
  </si>
  <si>
    <t>Dopuszczalny limit spłaty zobowiązań określony po prawej stronie nierówności we wzorze, o którym mowa w art. 243 ustawy, po uwzględnieniu ustawowych wyłączeń, obliczony w oparciu o plan 3. kwartału roku poprzedzającego pierwszy rok prognozy (wskaźnik ustalony w oparciu o średnią arytmetyczną z poprzednich lat)</t>
  </si>
  <si>
    <t>8.3.1</t>
  </si>
  <si>
    <t>Dopuszczalny limit spłaty zobowiązań określony po prawej stronie nierówności we wzorze, o którym mowa w art. 243 ustawy, po uwzględnieniu ustawowych wyłączeń, obliczony w oparciu o wykonanie roku poprzedzającego pierwszy rok prognozy (wskaźnik ustalony w oparciu o średnią arytmetyczną z poprzednich lat)</t>
  </si>
  <si>
    <t>8.4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</si>
  <si>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plan 3 kwartałów roku poprzedzającego rok budżetowy</t>
  </si>
  <si>
    <t>8.4.1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</si>
  <si>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wykonanie roku poprzedzającego rok budżetowy</t>
  </si>
  <si>
    <t>8.x</t>
  </si>
  <si>
    <t>Relacja łącznej kwoty długu do dochodów ogółem, pomniejszonych o planowane kwoty dotacji i środków o podobnym charakterze oraz powiększone o przychody z tytułów określonych w art. 217 ust. 2 pkt 4-8 uofp, nieprzeznaczone na sfinansowanie deficytu budżetowego</t>
  </si>
  <si>
    <t>9</t>
  </si>
  <si>
    <t>Finansowanie programów, projektów lub zadań realizowanych z udziałem środków, o których mowa w art. 5 ust. 1 pkt 2 i 3 ustawy</t>
  </si>
  <si>
    <t>9.1</t>
  </si>
  <si>
    <t>Dochody bieżące na programy, projekty lub zadania finansowe z udziałem środków, o których mowa w art. 5 ust. 1 pkt 2 i 3 ustawy</t>
  </si>
  <si>
    <t>9.1.1</t>
  </si>
  <si>
    <t>Dotacje i środki o charakterze bieżącym na realizację programu, projektu lub zadania finansowanego z udziałem środków, o których mowa w art. 5 ust. 1 pkt 2 ustawy, w tym:</t>
  </si>
  <si>
    <t>9.1.1.1</t>
  </si>
  <si>
    <t>środki określone w art. 5 ust. 1 pkt 2 ustawy</t>
  </si>
  <si>
    <t>9.2</t>
  </si>
  <si>
    <t>Dochody majątkowe na programy, projekty lub zadania finansowe z udziałem środków, o których mowa w art. 5 ust. 1 pkt 2 i 3 ustawy</t>
  </si>
  <si>
    <t>9.2.1</t>
  </si>
  <si>
    <t>Dochody majątkowe na programy, projekty lub zadania finansowe z udziałem środków, o których mowa w art. 5 ust. 1 pkt 2 ustawy, w tym:</t>
  </si>
  <si>
    <t>9.2.1.1</t>
  </si>
  <si>
    <t>9.3</t>
  </si>
  <si>
    <t>Wydatki bieżące na programy, projekty lub zadania finansowe z udziałem środków, o których mowa w art. 5 ust. 1 pkt 2 i 3 ustawy</t>
  </si>
  <si>
    <t>9.3.1</t>
  </si>
  <si>
    <t>Wydatki bieżące na programy, projekty lub zadania finansowe z udziałem środków, o których mowa w art. 5 ust. 1 pkt 2 ustawy, w tym:</t>
  </si>
  <si>
    <t>9.3.1.1</t>
  </si>
  <si>
    <t>finansowane środkami określonymi w art. 5 ust. 1 pkt 2 ustawy</t>
  </si>
  <si>
    <t>9.4</t>
  </si>
  <si>
    <t>Wydatki majątkowe na programy, projekty lub zadania finansowe z udziałem środków, o których mowa w art. 5 ust. 1 pkt 2 i 3 ustawy</t>
  </si>
  <si>
    <t>9.4.1</t>
  </si>
  <si>
    <t>Wydatki majątkowe na programy, projekty lub zadania finansowe z udziałem środków, o których mowa w art. 5 ust. 1 pkt 2 ustawy, w tym:</t>
  </si>
  <si>
    <t>9.4.1.1</t>
  </si>
  <si>
    <t>10</t>
  </si>
  <si>
    <t>Informacje uzupełniające o wybranych kategoriach finansowych</t>
  </si>
  <si>
    <t>10.1</t>
  </si>
  <si>
    <t>Wydatki objęte limitem, o którym mowa w art. 226 ust. 3 pkt 4 ustawy, z 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</si>
  <si>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</si>
  <si>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</si>
  <si>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</si>
  <si>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</si>
  <si>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</si>
  <si>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</si>
  <si>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</si>
  <si>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 związku z likwidacją lub przekształceniem samodzielnego publicznego zakładu opieki zdrowotnej</t>
  </si>
  <si>
    <t>10.4</t>
  </si>
  <si>
    <t>Kwota zobowiązań związku współtworzonego przez jednostkę samorządu terytorialnego przypadających do spłaty w danym roku budżetowym, podlegająca doliczeniu zgodnie z art. 244 ustawy</t>
  </si>
  <si>
    <t>10.5</t>
  </si>
  <si>
    <t>Kwota zobowiązań wynikających z przejęcia przez jednostkę samorządu terytorialnego zobowiązań po likwidowanych i przekształcanych samorządowych osobach prawnych</t>
  </si>
  <si>
    <t>10.6</t>
  </si>
  <si>
    <t>Spłaty, o których mowa w poz. 5.1., wynikające wyłącznie z tytułu zobowiązań już zaciągniętych</t>
  </si>
  <si>
    <t>10.7</t>
  </si>
  <si>
    <t>Wydatki zmniejszające dług, w tym:</t>
  </si>
  <si>
    <t>10.7.1</t>
  </si>
  <si>
    <t>spłata zobowiązań wymagalnych z lat poprzednich, innych niż w poz. 10.7.3</t>
  </si>
  <si>
    <t>10.7.2</t>
  </si>
  <si>
    <t>spłata zobowiązań zaliczanych do tytułu dłużnego – kredyt i pożyczka, w tym:</t>
  </si>
  <si>
    <t>10.7.2.1</t>
  </si>
  <si>
    <t>zobowiązań zaciągniętych po dniu 1 stycznia 2019 r.</t>
  </si>
  <si>
    <t>10.7.2.1.1</t>
  </si>
  <si>
    <t>dokonywana w formie wydatku bieżącego</t>
  </si>
  <si>
    <t>10.7.3</t>
  </si>
  <si>
    <t>wypłaty z tytułu wymagalnych poręczeń i gwarancji</t>
  </si>
  <si>
    <t>10.8</t>
  </si>
  <si>
    <t>Kwota wzrostu(+)/spadku(−) kwoty długu wynikająca z operacji niekasowych (m.in. umorzenia, różnice kursowe)</t>
  </si>
  <si>
    <t>10.9</t>
  </si>
  <si>
    <t>Wcześniejsza spłata zobowiązań, wyłączona z limitu spłaty zobowiązań, dokonywana w 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</si>
  <si>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</si>
  <si>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</si>
  <si>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</si>
  <si>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</si>
  <si>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10.11.x</t>
  </si>
  <si>
    <t>Planowane wydatki bieżące podlegające ustawowemu wyłączeniu z limitu spłaty zobowiązań</t>
  </si>
  <si>
    <t>13</t>
  </si>
  <si>
    <t>Rozliczenie budżetu</t>
  </si>
  <si>
    <t>13z</t>
  </si>
  <si>
    <t>Zdolność inwestycyjna</t>
  </si>
  <si>
    <t>Załącznik Nr 1</t>
  </si>
  <si>
    <t>do Uchwały Nr   XVIII/97/2025  z 18 lutego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</si>
</sst>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b/>
      <sz val="8"/>
      <color rgb="FFFF0000"/>
      <name val="Times New Roman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ECEAEC"/>
      </patternFill>
    </fill>
    <fill>
      <patternFill patternType="solid">
        <fgColor rgb="FFF4F2FD"/>
      </patternFill>
    </fill>
    <fill>
      <patternFill patternType="solid">
        <fgColor rgb="FF99DFC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/>
    <xf numFmtId="4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0" fontId="1" fillId="3" borderId="1" xfId="0" applyNumberFormat="1" applyFont="1" applyFill="1" applyBorder="1" applyAlignment="1">
      <alignment horizontal="left" vertical="center"/>
    </xf>
    <xf numFmtId="10" fontId="1" fillId="3" borderId="1" xfId="0" applyNumberFormat="1" applyFont="1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right" vertical="center"/>
    </xf>
    <xf numFmtId="10" fontId="1" fillId="3" borderId="1" xfId="0" applyNumberFormat="1" applyFont="1" applyFill="1" applyBorder="1" applyAlignment="1">
      <alignment horizontal="right" vertical="center"/>
    </xf>
    <xf numFmtId="4" fontId="2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4" fillId="0" borderId="0" xfId="0" applyFont="1"/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6"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workbookViewId="0">
      <pane xSplit="2" ySplit="3" topLeftCell="R4" activePane="bottomRight" state="frozen"/>
      <selection pane="topRight" activeCell="C1" sqref="C1"/>
      <selection pane="bottomLeft" activeCell="A2" sqref="A2"/>
      <selection pane="bottomRight" activeCell="B107" sqref="B107"/>
    </sheetView>
  </sheetViews>
  <sheetFormatPr defaultRowHeight="14.4" x14ac:dyDescent="0.3"/>
  <cols>
    <col min="1" max="1" width="7.109375" customWidth="1"/>
    <col min="2" max="2" width="42.88671875" customWidth="1"/>
    <col min="3" max="10" width="14.33203125" hidden="1" customWidth="1"/>
    <col min="11" max="26" width="14.33203125" customWidth="1"/>
  </cols>
  <sheetData>
    <row r="1" spans="1:26" x14ac:dyDescent="0.3">
      <c r="B1" s="24" t="s">
        <v>222</v>
      </c>
    </row>
    <row r="2" spans="1:26" x14ac:dyDescent="0.3">
      <c r="B2" s="24" t="s">
        <v>223</v>
      </c>
    </row>
    <row r="3" spans="1:26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</row>
    <row r="4" spans="1:26" ht="14.25" customHeight="1" x14ac:dyDescent="0.3">
      <c r="A4" s="2" t="s">
        <v>26</v>
      </c>
      <c r="B4" s="3" t="s">
        <v>27</v>
      </c>
      <c r="C4" s="4">
        <f>IF(ISNUMBER(VLOOKUP("1.1",A4:Z106,3,FALSE)),ROUND(VLOOKUP("1.1",A4:Z106,3,FALSE),4),0) + IF(ISNUMBER(VLOOKUP("1.2",A4:Z106,3,FALSE)),ROUND(VLOOKUP("1.2",A4:Z106,3,FALSE),4),0)</f>
        <v>84037643.219999999</v>
      </c>
      <c r="D4" s="4">
        <f>IF(ISNUMBER(VLOOKUP("1.1",A4:Z106,4,FALSE)),ROUND(VLOOKUP("1.1",A4:Z106,4,FALSE),4),0) + IF(ISNUMBER(VLOOKUP("1.2",A4:Z106,4,FALSE)),ROUND(VLOOKUP("1.2",A4:Z106,4,FALSE),4),0)</f>
        <v>85584215.590000004</v>
      </c>
      <c r="E4" s="4">
        <f>IF(ISNUMBER(VLOOKUP("1.1",A4:Z106,5,FALSE)),ROUND(VLOOKUP("1.1",A4:Z106,5,FALSE),4),0) + IF(ISNUMBER(VLOOKUP("1.2",A4:Z106,5,FALSE)),ROUND(VLOOKUP("1.2",A4:Z106,5,FALSE),4),0)</f>
        <v>100565698.27</v>
      </c>
      <c r="F4" s="4">
        <f>IF(ISNUMBER(VLOOKUP("1.1",A4:Z106,6,FALSE)),ROUND(VLOOKUP("1.1",A4:Z106,6,FALSE),4),0) + IF(ISNUMBER(VLOOKUP("1.2",A4:Z106,6,FALSE)),ROUND(VLOOKUP("1.2",A4:Z106,6,FALSE),4),0)</f>
        <v>122745392.14999999</v>
      </c>
      <c r="G4" s="4">
        <f>IF(ISNUMBER(VLOOKUP("1.1",A4:Z106,7,FALSE)),ROUND(VLOOKUP("1.1",A4:Z106,7,FALSE),4),0) + IF(ISNUMBER(VLOOKUP("1.2",A4:Z106,7,FALSE)),ROUND(VLOOKUP("1.2",A4:Z106,7,FALSE),4),0)</f>
        <v>115740815.93000001</v>
      </c>
      <c r="H4" s="4">
        <f>IF(ISNUMBER(VLOOKUP("1.1",A4:Z106,8,FALSE)),ROUND(VLOOKUP("1.1",A4:Z106,8,FALSE),4),0) + IF(ISNUMBER(VLOOKUP("1.2",A4:Z106,8,FALSE)),ROUND(VLOOKUP("1.2",A4:Z106,8,FALSE),4),0)</f>
        <v>118766405.25</v>
      </c>
      <c r="I4" s="4">
        <f>IF(ISNUMBER(VLOOKUP("1.1",A4:Z106,9,FALSE)),ROUND(VLOOKUP("1.1",A4:Z106,9,FALSE),4),0) + IF(ISNUMBER(VLOOKUP("1.2",A4:Z106,9,FALSE)),ROUND(VLOOKUP("1.2",A4:Z106,9,FALSE),4),0)</f>
        <v>160793904.63999999</v>
      </c>
      <c r="J4" s="4">
        <f>IF(ISNUMBER(VLOOKUP("1.1",A4:Z106,10,FALSE)),ROUND(VLOOKUP("1.1",A4:Z106,10,FALSE),4),0) + IF(ISNUMBER(VLOOKUP("1.2",A4:Z106,10,FALSE)),ROUND(VLOOKUP("1.2",A4:Z106,10,FALSE),4),0)</f>
        <v>147638290.47999999</v>
      </c>
      <c r="K4" s="5">
        <f>IF(ISNUMBER(VLOOKUP("1.1",A4:Z106,11,FALSE)),ROUND(VLOOKUP("1.1",A4:Z106,11,FALSE),4),0) + IF(ISNUMBER(VLOOKUP("1.2",A4:Z106,11,FALSE)),ROUND(VLOOKUP("1.2",A4:Z106,11,FALSE),4),0)</f>
        <v>166007081.00999999</v>
      </c>
      <c r="L4" s="5">
        <f>IF(ISNUMBER(VLOOKUP("1.1",A4:Z106,12,FALSE)),ROUND(VLOOKUP("1.1",A4:Z106,12,FALSE),4),0) + IF(ISNUMBER(VLOOKUP("1.2",A4:Z106,12,FALSE)),ROUND(VLOOKUP("1.2",A4:Z106,12,FALSE),4),0)</f>
        <v>177035798.03</v>
      </c>
      <c r="M4" s="5">
        <f>IF(ISNUMBER(VLOOKUP("1.1",A4:Z106,13,FALSE)),ROUND(VLOOKUP("1.1",A4:Z106,13,FALSE),4),0) + IF(ISNUMBER(VLOOKUP("1.2",A4:Z106,13,FALSE)),ROUND(VLOOKUP("1.2",A4:Z106,13,FALSE),4),0)</f>
        <v>181048779.36000001</v>
      </c>
      <c r="N4" s="5">
        <f>IF(ISNUMBER(VLOOKUP("1.1",A4:Z106,14,FALSE)),ROUND(VLOOKUP("1.1",A4:Z106,14,FALSE),4),0) + IF(ISNUMBER(VLOOKUP("1.2",A4:Z106,14,FALSE)),ROUND(VLOOKUP("1.2",A4:Z106,14,FALSE),4),0)</f>
        <v>136916385</v>
      </c>
      <c r="O4" s="5">
        <f>IF(ISNUMBER(VLOOKUP("1.1",A4:Z106,15,FALSE)),ROUND(VLOOKUP("1.1",A4:Z106,15,FALSE),4),0) + IF(ISNUMBER(VLOOKUP("1.2",A4:Z106,15,FALSE)),ROUND(VLOOKUP("1.2",A4:Z106,15,FALSE),4),0)</f>
        <v>142762319</v>
      </c>
      <c r="P4" s="5">
        <f>IF(ISNUMBER(VLOOKUP("1.1",A4:Z106,16,FALSE)),ROUND(VLOOKUP("1.1",A4:Z106,16,FALSE),4),0) + IF(ISNUMBER(VLOOKUP("1.2",A4:Z106,16,FALSE)),ROUND(VLOOKUP("1.2",A4:Z106,16,FALSE),4),0)</f>
        <v>146376015</v>
      </c>
      <c r="Q4" s="5">
        <f>IF(ISNUMBER(VLOOKUP("1.1",A4:Z106,17,FALSE)),ROUND(VLOOKUP("1.1",A4:Z106,17,FALSE),4),0) + IF(ISNUMBER(VLOOKUP("1.2",A4:Z106,17,FALSE)),ROUND(VLOOKUP("1.2",A4:Z106,17,FALSE),4),0)</f>
        <v>147926854</v>
      </c>
      <c r="R4" s="5">
        <f>IF(ISNUMBER(VLOOKUP("1.1",A4:Z106,18,FALSE)),ROUND(VLOOKUP("1.1",A4:Z106,18,FALSE),4),0) + IF(ISNUMBER(VLOOKUP("1.2",A4:Z106,18,FALSE)),ROUND(VLOOKUP("1.2",A4:Z106,18,FALSE),4),0)</f>
        <v>151410026</v>
      </c>
      <c r="S4" s="5">
        <f>IF(ISNUMBER(VLOOKUP("1.1",A4:Z106,19,FALSE)),ROUND(VLOOKUP("1.1",A4:Z106,19,FALSE),4),0) + IF(ISNUMBER(VLOOKUP("1.2",A4:Z106,19,FALSE)),ROUND(VLOOKUP("1.2",A4:Z106,19,FALSE),4),0)</f>
        <v>154985276</v>
      </c>
      <c r="T4" s="5">
        <f>IF(ISNUMBER(VLOOKUP("1.1",A4:Z106,20,FALSE)),ROUND(VLOOKUP("1.1",A4:Z106,20,FALSE),4),0) + IF(ISNUMBER(VLOOKUP("1.2",A4:Z106,20,FALSE)),ROUND(VLOOKUP("1.2",A4:Z106,20,FALSE),4),0)</f>
        <v>159154908</v>
      </c>
      <c r="U4" s="5">
        <f>IF(ISNUMBER(VLOOKUP("1.1",A4:Z106,21,FALSE)),ROUND(VLOOKUP("1.1",A4:Z106,21,FALSE),4),0) + IF(ISNUMBER(VLOOKUP("1.2",A4:Z106,21,FALSE)),ROUND(VLOOKUP("1.2",A4:Z106,21,FALSE),4),0)</f>
        <v>163121280</v>
      </c>
      <c r="V4" s="5">
        <f>IF(ISNUMBER(VLOOKUP("1.1",A4:Z106,22,FALSE)),ROUND(VLOOKUP("1.1",A4:Z106,22,FALSE),4),0) + IF(ISNUMBER(VLOOKUP("1.2",A4:Z106,22,FALSE)),ROUND(VLOOKUP("1.2",A4:Z106,22,FALSE),4),0)</f>
        <v>167286812</v>
      </c>
      <c r="W4" s="5">
        <f>IF(ISNUMBER(VLOOKUP("1.1",A4:Z106,23,FALSE)),ROUND(VLOOKUP("1.1",A4:Z106,23,FALSE),4),0) + IF(ISNUMBER(VLOOKUP("1.2",A4:Z106,23,FALSE)),ROUND(VLOOKUP("1.2",A4:Z106,23,FALSE),4),0)</f>
        <v>171453982</v>
      </c>
      <c r="X4" s="5">
        <f>IF(ISNUMBER(VLOOKUP("1.1",A4:Z106,24,FALSE)),ROUND(VLOOKUP("1.1",A4:Z106,24,FALSE),4),0) + IF(ISNUMBER(VLOOKUP("1.2",A4:Z106,24,FALSE)),ROUND(VLOOKUP("1.2",A4:Z106,24,FALSE),4),0)</f>
        <v>175725330</v>
      </c>
      <c r="Y4" s="5">
        <f>IF(ISNUMBER(VLOOKUP("1.1",A4:Z106,25,FALSE)),ROUND(VLOOKUP("1.1",A4:Z106,25,FALSE),4),0) + IF(ISNUMBER(VLOOKUP("1.2",A4:Z106,25,FALSE)),ROUND(VLOOKUP("1.2",A4:Z106,25,FALSE),4),0)</f>
        <v>180103464</v>
      </c>
      <c r="Z4" s="5">
        <f>IF(ISNUMBER(VLOOKUP("1.1",A4:Z106,26,FALSE)),ROUND(VLOOKUP("1.1",A4:Z106,26,FALSE),4),0) + IF(ISNUMBER(VLOOKUP("1.2",A4:Z106,26,FALSE)),ROUND(VLOOKUP("1.2",A4:Z106,26,FALSE),4),0)</f>
        <v>187543533</v>
      </c>
    </row>
    <row r="5" spans="1:26" ht="14.25" customHeight="1" x14ac:dyDescent="0.3">
      <c r="A5" s="2" t="s">
        <v>28</v>
      </c>
      <c r="B5" s="3" t="s">
        <v>29</v>
      </c>
      <c r="C5" s="4">
        <f>IF(ISNUMBER(VLOOKUP("1.1.1",A4:Z106,3,FALSE)),ROUND(VLOOKUP("1.1.1",A4:Z106,3,FALSE),4),0) + IF(ISNUMBER(VLOOKUP("1.1.2",A4:Z106,3,FALSE)),ROUND(VLOOKUP("1.1.2",A4:Z106,3,FALSE),4),0) + IF(ISNUMBER(VLOOKUP("1.1.3",A4:Z106,3,FALSE)),ROUND(VLOOKUP("1.1.3",A4:Z106,3,FALSE),4),0) + IF(ISNUMBER(VLOOKUP("1.1.4",A4:Z106,3,FALSE)),ROUND(VLOOKUP("1.1.4",A4:Z106,3,FALSE),4),0) + IF(ISNUMBER(VLOOKUP("1.1.5",A4:Z106,3,FALSE)),ROUND(VLOOKUP("1.1.5",A4:Z106,3,FALSE),4),0) + IF(ISNA(VLOOKUP("1.1.x",A4:Z106,3,FALSE)),0,ROUND(VLOOKUP("1.1.x",A4:Z106,3,FALSE),4))</f>
        <v>70826075.670000002</v>
      </c>
      <c r="D5" s="4">
        <f>IF(ISNUMBER(VLOOKUP("1.1.1",A4:Z106,4,FALSE)),ROUND(VLOOKUP("1.1.1",A4:Z106,4,FALSE),4),0) + IF(ISNUMBER(VLOOKUP("1.1.2",A4:Z106,4,FALSE)),ROUND(VLOOKUP("1.1.2",A4:Z106,4,FALSE),4),0) + IF(ISNUMBER(VLOOKUP("1.1.3",A4:Z106,4,FALSE)),ROUND(VLOOKUP("1.1.3",A4:Z106,4,FALSE),4),0) + IF(ISNUMBER(VLOOKUP("1.1.4",A4:Z106,4,FALSE)),ROUND(VLOOKUP("1.1.4",A4:Z106,4,FALSE),4),0) + IF(ISNUMBER(VLOOKUP("1.1.5",A4:Z106,4,FALSE)),ROUND(VLOOKUP("1.1.5",A4:Z106,4,FALSE),4),0) + IF(ISNA(VLOOKUP("1.1.x",A4:Z106,4,FALSE)),0,ROUND(VLOOKUP("1.1.x",A4:Z106,4,FALSE),4))</f>
        <v>80352646.399999991</v>
      </c>
      <c r="E5" s="4">
        <f>IF(ISNUMBER(VLOOKUP("1.1.1",A4:Z106,5,FALSE)),ROUND(VLOOKUP("1.1.1",A4:Z106,5,FALSE),4),0) + IF(ISNUMBER(VLOOKUP("1.1.2",A4:Z106,5,FALSE)),ROUND(VLOOKUP("1.1.2",A4:Z106,5,FALSE),4),0) + IF(ISNUMBER(VLOOKUP("1.1.3",A4:Z106,5,FALSE)),ROUND(VLOOKUP("1.1.3",A4:Z106,5,FALSE),4),0) + IF(ISNUMBER(VLOOKUP("1.1.4",A4:Z106,5,FALSE)),ROUND(VLOOKUP("1.1.4",A4:Z106,5,FALSE),4),0) + IF(ISNUMBER(VLOOKUP("1.1.5",A4:Z106,5,FALSE)),ROUND(VLOOKUP("1.1.5",A4:Z106,5,FALSE),4),0) + IF(ISNA(VLOOKUP("1.1.x",A4:Z106,5,FALSE)),0,ROUND(VLOOKUP("1.1.x",A4:Z106,5,FALSE),4))</f>
        <v>91308817.420000002</v>
      </c>
      <c r="F5" s="4">
        <f>IF(ISNUMBER(VLOOKUP("1.1.1",A4:Z106,6,FALSE)),ROUND(VLOOKUP("1.1.1",A4:Z106,6,FALSE),4),0) + IF(ISNUMBER(VLOOKUP("1.1.2",A4:Z106,6,FALSE)),ROUND(VLOOKUP("1.1.2",A4:Z106,6,FALSE),4),0) + IF(ISNUMBER(VLOOKUP("1.1.3",A4:Z106,6,FALSE)),ROUND(VLOOKUP("1.1.3",A4:Z106,6,FALSE),4),0) + IF(ISNUMBER(VLOOKUP("1.1.4",A4:Z106,6,FALSE)),ROUND(VLOOKUP("1.1.4",A4:Z106,6,FALSE),4),0) + IF(ISNUMBER(VLOOKUP("1.1.5",A4:Z106,6,FALSE)),ROUND(VLOOKUP("1.1.5",A4:Z106,6,FALSE),4),0) + IF(ISNA(VLOOKUP("1.1.x",A4:Z106,6,FALSE)),0,ROUND(VLOOKUP("1.1.x",A4:Z106,6,FALSE),4))</f>
        <v>100491940.46000001</v>
      </c>
      <c r="G5" s="4">
        <f>IF(ISNUMBER(VLOOKUP("1.1.1",A4:Z106,7,FALSE)),ROUND(VLOOKUP("1.1.1",A4:Z106,7,FALSE),4),0) + IF(ISNUMBER(VLOOKUP("1.1.2",A4:Z106,7,FALSE)),ROUND(VLOOKUP("1.1.2",A4:Z106,7,FALSE),4),0) + IF(ISNUMBER(VLOOKUP("1.1.3",A4:Z106,7,FALSE)),ROUND(VLOOKUP("1.1.3",A4:Z106,7,FALSE),4),0) + IF(ISNUMBER(VLOOKUP("1.1.4",A4:Z106,7,FALSE)),ROUND(VLOOKUP("1.1.4",A4:Z106,7,FALSE),4),0) + IF(ISNUMBER(VLOOKUP("1.1.5",A4:Z106,7,FALSE)),ROUND(VLOOKUP("1.1.5",A4:Z106,7,FALSE),4),0) + IF(ISNA(VLOOKUP("1.1.x",A4:Z106,7,FALSE)),0,ROUND(VLOOKUP("1.1.x",A4:Z106,7,FALSE),4))</f>
        <v>110464965.59</v>
      </c>
      <c r="H5" s="4">
        <f>IF(ISNUMBER(VLOOKUP("1.1.1",A4:Z106,8,FALSE)),ROUND(VLOOKUP("1.1.1",A4:Z106,8,FALSE),4),0) + IF(ISNUMBER(VLOOKUP("1.1.2",A4:Z106,8,FALSE)),ROUND(VLOOKUP("1.1.2",A4:Z106,8,FALSE),4),0) + IF(ISNUMBER(VLOOKUP("1.1.3",A4:Z106,8,FALSE)),ROUND(VLOOKUP("1.1.3",A4:Z106,8,FALSE),4),0) + IF(ISNUMBER(VLOOKUP("1.1.4",A4:Z106,8,FALSE)),ROUND(VLOOKUP("1.1.4",A4:Z106,8,FALSE),4),0) + IF(ISNUMBER(VLOOKUP("1.1.5",A4:Z106,8,FALSE)),ROUND(VLOOKUP("1.1.5",A4:Z106,8,FALSE),4),0) + IF(ISNA(VLOOKUP("1.1.x",A4:Z106,8,FALSE)),0,ROUND(VLOOKUP("1.1.x",A4:Z106,8,FALSE),4))</f>
        <v>98238431.420000002</v>
      </c>
      <c r="I5" s="4">
        <f>IF(ISNUMBER(VLOOKUP("1.1.1",A4:Z106,9,FALSE)),ROUND(VLOOKUP("1.1.1",A4:Z106,9,FALSE),4),0) + IF(ISNUMBER(VLOOKUP("1.1.2",A4:Z106,9,FALSE)),ROUND(VLOOKUP("1.1.2",A4:Z106,9,FALSE),4),0) + IF(ISNUMBER(VLOOKUP("1.1.3",A4:Z106,9,FALSE)),ROUND(VLOOKUP("1.1.3",A4:Z106,9,FALSE),4),0) + IF(ISNUMBER(VLOOKUP("1.1.4",A4:Z106,9,FALSE)),ROUND(VLOOKUP("1.1.4",A4:Z106,9,FALSE),4),0) + IF(ISNUMBER(VLOOKUP("1.1.5",A4:Z106,9,FALSE)),ROUND(VLOOKUP("1.1.5",A4:Z106,9,FALSE),4),0) + IF(ISNA(VLOOKUP("1.1.x",A4:Z106,9,FALSE)),0,ROUND(VLOOKUP("1.1.x",A4:Z106,9,FALSE),4))</f>
        <v>121225565.75</v>
      </c>
      <c r="J5" s="4">
        <f>IF(ISNUMBER(VLOOKUP("1.1.1",A4:Z106,10,FALSE)),ROUND(VLOOKUP("1.1.1",A4:Z106,10,FALSE),4),0) + IF(ISNUMBER(VLOOKUP("1.1.2",A4:Z106,10,FALSE)),ROUND(VLOOKUP("1.1.2",A4:Z106,10,FALSE),4),0) + IF(ISNUMBER(VLOOKUP("1.1.3",A4:Z106,10,FALSE)),ROUND(VLOOKUP("1.1.3",A4:Z106,10,FALSE),4),0) + IF(ISNUMBER(VLOOKUP("1.1.4",A4:Z106,10,FALSE)),ROUND(VLOOKUP("1.1.4",A4:Z106,10,FALSE),4),0) + IF(ISNUMBER(VLOOKUP("1.1.5",A4:Z106,10,FALSE)),ROUND(VLOOKUP("1.1.5",A4:Z106,10,FALSE),4),0) + IF(ISNA(VLOOKUP("1.1.x",A4:Z106,10,FALSE)),0,ROUND(VLOOKUP("1.1.x",A4:Z106,10,FALSE),4))</f>
        <v>133870313.45</v>
      </c>
      <c r="K5" s="5">
        <f>IF(ISNUMBER(VLOOKUP("1.1.1",A4:Z106,11,FALSE)),ROUND(VLOOKUP("1.1.1",A4:Z106,11,FALSE),4),0) + IF(ISNUMBER(VLOOKUP("1.1.2",A4:Z106,11,FALSE)),ROUND(VLOOKUP("1.1.2",A4:Z106,11,FALSE),4),0) + IF(ISNUMBER(VLOOKUP("1.1.3",A4:Z106,11,FALSE)),ROUND(VLOOKUP("1.1.3",A4:Z106,11,FALSE),4),0) + IF(ISNUMBER(VLOOKUP("1.1.4",A4:Z106,11,FALSE)),ROUND(VLOOKUP("1.1.4",A4:Z106,11,FALSE),4),0) + IF(ISNUMBER(VLOOKUP("1.1.5",A4:Z106,11,FALSE)),ROUND(VLOOKUP("1.1.5",A4:Z106,11,FALSE),4),0) + IF(ISNA(VLOOKUP("1.1.x",A4:Z106,11,FALSE)),0,ROUND(VLOOKUP("1.1.x",A4:Z106,11,FALSE),4))</f>
        <v>126317916.56999999</v>
      </c>
      <c r="L5" s="5">
        <f>IF(ISNUMBER(VLOOKUP("1.1.1",A4:Z106,12,FALSE)),ROUND(VLOOKUP("1.1.1",A4:Z106,12,FALSE),4),0) + IF(ISNUMBER(VLOOKUP("1.1.2",A4:Z106,12,FALSE)),ROUND(VLOOKUP("1.1.2",A4:Z106,12,FALSE),4),0) + IF(ISNUMBER(VLOOKUP("1.1.3",A4:Z106,12,FALSE)),ROUND(VLOOKUP("1.1.3",A4:Z106,12,FALSE),4),0) + IF(ISNUMBER(VLOOKUP("1.1.4",A4:Z106,12,FALSE)),ROUND(VLOOKUP("1.1.4",A4:Z106,12,FALSE),4),0) + IF(ISNUMBER(VLOOKUP("1.1.5",A4:Z106,12,FALSE)),ROUND(VLOOKUP("1.1.5",A4:Z106,12,FALSE),4),0) + IF(ISNA(VLOOKUP("1.1.x",A4:Z106,12,FALSE)),0,ROUND(VLOOKUP("1.1.x",A4:Z106,12,FALSE),4))</f>
        <v>129099216</v>
      </c>
      <c r="M5" s="5">
        <f>IF(ISNUMBER(VLOOKUP("1.1.1",A4:Z106,13,FALSE)),ROUND(VLOOKUP("1.1.1",A4:Z106,13,FALSE),4),0) + IF(ISNUMBER(VLOOKUP("1.1.2",A4:Z106,13,FALSE)),ROUND(VLOOKUP("1.1.2",A4:Z106,13,FALSE),4),0) + IF(ISNUMBER(VLOOKUP("1.1.3",A4:Z106,13,FALSE)),ROUND(VLOOKUP("1.1.3",A4:Z106,13,FALSE),4),0) + IF(ISNUMBER(VLOOKUP("1.1.4",A4:Z106,13,FALSE)),ROUND(VLOOKUP("1.1.4",A4:Z106,13,FALSE),4),0) + IF(ISNUMBER(VLOOKUP("1.1.5",A4:Z106,13,FALSE)),ROUND(VLOOKUP("1.1.5",A4:Z106,13,FALSE),4),0) + IF(ISNA(VLOOKUP("1.1.x",A4:Z106,13,FALSE)),0,ROUND(VLOOKUP("1.1.x",A4:Z106,13,FALSE),4))</f>
        <v>133210231.78999999</v>
      </c>
      <c r="N5" s="5">
        <f>IF(ISNUMBER(VLOOKUP("1.1.1",A4:Z106,14,FALSE)),ROUND(VLOOKUP("1.1.1",A4:Z106,14,FALSE),4),0) + IF(ISNUMBER(VLOOKUP("1.1.2",A4:Z106,14,FALSE)),ROUND(VLOOKUP("1.1.2",A4:Z106,14,FALSE),4),0) + IF(ISNUMBER(VLOOKUP("1.1.3",A4:Z106,14,FALSE)),ROUND(VLOOKUP("1.1.3",A4:Z106,14,FALSE),4),0) + IF(ISNUMBER(VLOOKUP("1.1.4",A4:Z106,14,FALSE)),ROUND(VLOOKUP("1.1.4",A4:Z106,14,FALSE),4),0) + IF(ISNUMBER(VLOOKUP("1.1.5",A4:Z106,14,FALSE)),ROUND(VLOOKUP("1.1.5",A4:Z106,14,FALSE),4),0) + IF(ISNA(VLOOKUP("1.1.x",A4:Z106,14,FALSE)),0,ROUND(VLOOKUP("1.1.x",A4:Z106,14,FALSE),4))</f>
        <v>136716385</v>
      </c>
      <c r="O5" s="5">
        <f>IF(ISNUMBER(VLOOKUP("1.1.1",A4:Z106,15,FALSE)),ROUND(VLOOKUP("1.1.1",A4:Z106,15,FALSE),4),0) + IF(ISNUMBER(VLOOKUP("1.1.2",A4:Z106,15,FALSE)),ROUND(VLOOKUP("1.1.2",A4:Z106,15,FALSE),4),0) + IF(ISNUMBER(VLOOKUP("1.1.3",A4:Z106,15,FALSE)),ROUND(VLOOKUP("1.1.3",A4:Z106,15,FALSE),4),0) + IF(ISNUMBER(VLOOKUP("1.1.4",A4:Z106,15,FALSE)),ROUND(VLOOKUP("1.1.4",A4:Z106,15,FALSE),4),0) + IF(ISNUMBER(VLOOKUP("1.1.5",A4:Z106,15,FALSE)),ROUND(VLOOKUP("1.1.5",A4:Z106,15,FALSE),4),0) + IF(ISNA(VLOOKUP("1.1.x",A4:Z106,15,FALSE)),0,ROUND(VLOOKUP("1.1.x",A4:Z106,15,FALSE),4))</f>
        <v>142462319</v>
      </c>
      <c r="P5" s="5">
        <f>IF(ISNUMBER(VLOOKUP("1.1.1",A4:Z106,16,FALSE)),ROUND(VLOOKUP("1.1.1",A4:Z106,16,FALSE),4),0) + IF(ISNUMBER(VLOOKUP("1.1.2",A4:Z106,16,FALSE)),ROUND(VLOOKUP("1.1.2",A4:Z106,16,FALSE),4),0) + IF(ISNUMBER(VLOOKUP("1.1.3",A4:Z106,16,FALSE)),ROUND(VLOOKUP("1.1.3",A4:Z106,16,FALSE),4),0) + IF(ISNUMBER(VLOOKUP("1.1.4",A4:Z106,16,FALSE)),ROUND(VLOOKUP("1.1.4",A4:Z106,16,FALSE),4),0) + IF(ISNUMBER(VLOOKUP("1.1.5",A4:Z106,16,FALSE)),ROUND(VLOOKUP("1.1.5",A4:Z106,16,FALSE),4),0) + IF(ISNA(VLOOKUP("1.1.x",A4:Z106,16,FALSE)),0,ROUND(VLOOKUP("1.1.x",A4:Z106,16,FALSE),4))</f>
        <v>145876015</v>
      </c>
      <c r="Q5" s="5">
        <f>IF(ISNUMBER(VLOOKUP("1.1.1",A4:Z106,17,FALSE)),ROUND(VLOOKUP("1.1.1",A4:Z106,17,FALSE),4),0) + IF(ISNUMBER(VLOOKUP("1.1.2",A4:Z106,17,FALSE)),ROUND(VLOOKUP("1.1.2",A4:Z106,17,FALSE),4),0) + IF(ISNUMBER(VLOOKUP("1.1.3",A4:Z106,17,FALSE)),ROUND(VLOOKUP("1.1.3",A4:Z106,17,FALSE),4),0) + IF(ISNUMBER(VLOOKUP("1.1.4",A4:Z106,17,FALSE)),ROUND(VLOOKUP("1.1.4",A4:Z106,17,FALSE),4),0) + IF(ISNUMBER(VLOOKUP("1.1.5",A4:Z106,17,FALSE)),ROUND(VLOOKUP("1.1.5",A4:Z106,17,FALSE),4),0) + IF(ISNA(VLOOKUP("1.1.x",A4:Z106,17,FALSE)),0,ROUND(VLOOKUP("1.1.x",A4:Z106,17,FALSE),4))</f>
        <v>147426854</v>
      </c>
      <c r="R5" s="5">
        <f>IF(ISNUMBER(VLOOKUP("1.1.1",A4:Z106,18,FALSE)),ROUND(VLOOKUP("1.1.1",A4:Z106,18,FALSE),4),0) + IF(ISNUMBER(VLOOKUP("1.1.2",A4:Z106,18,FALSE)),ROUND(VLOOKUP("1.1.2",A4:Z106,18,FALSE),4),0) + IF(ISNUMBER(VLOOKUP("1.1.3",A4:Z106,18,FALSE)),ROUND(VLOOKUP("1.1.3",A4:Z106,18,FALSE),4),0) + IF(ISNUMBER(VLOOKUP("1.1.4",A4:Z106,18,FALSE)),ROUND(VLOOKUP("1.1.4",A4:Z106,18,FALSE),4),0) + IF(ISNUMBER(VLOOKUP("1.1.5",A4:Z106,18,FALSE)),ROUND(VLOOKUP("1.1.5",A4:Z106,18,FALSE),4),0) + IF(ISNA(VLOOKUP("1.1.x",A4:Z106,18,FALSE)),0,ROUND(VLOOKUP("1.1.x",A4:Z106,18,FALSE),4))</f>
        <v>151110026</v>
      </c>
      <c r="S5" s="5">
        <f>IF(ISNUMBER(VLOOKUP("1.1.1",A4:Z106,19,FALSE)),ROUND(VLOOKUP("1.1.1",A4:Z106,19,FALSE),4),0) + IF(ISNUMBER(VLOOKUP("1.1.2",A4:Z106,19,FALSE)),ROUND(VLOOKUP("1.1.2",A4:Z106,19,FALSE),4),0) + IF(ISNUMBER(VLOOKUP("1.1.3",A4:Z106,19,FALSE)),ROUND(VLOOKUP("1.1.3",A4:Z106,19,FALSE),4),0) + IF(ISNUMBER(VLOOKUP("1.1.4",A4:Z106,19,FALSE)),ROUND(VLOOKUP("1.1.4",A4:Z106,19,FALSE),4),0) + IF(ISNUMBER(VLOOKUP("1.1.5",A4:Z106,19,FALSE)),ROUND(VLOOKUP("1.1.5",A4:Z106,19,FALSE),4),0) + IF(ISNA(VLOOKUP("1.1.x",A4:Z106,19,FALSE)),0,ROUND(VLOOKUP("1.1.x",A4:Z106,19,FALSE),4))</f>
        <v>154885276</v>
      </c>
      <c r="T5" s="5">
        <f>IF(ISNUMBER(VLOOKUP("1.1.1",A4:Z106,20,FALSE)),ROUND(VLOOKUP("1.1.1",A4:Z106,20,FALSE),4),0) + IF(ISNUMBER(VLOOKUP("1.1.2",A4:Z106,20,FALSE)),ROUND(VLOOKUP("1.1.2",A4:Z106,20,FALSE),4),0) + IF(ISNUMBER(VLOOKUP("1.1.3",A4:Z106,20,FALSE)),ROUND(VLOOKUP("1.1.3",A4:Z106,20,FALSE),4),0) + IF(ISNUMBER(VLOOKUP("1.1.4",A4:Z106,20,FALSE)),ROUND(VLOOKUP("1.1.4",A4:Z106,20,FALSE),4),0) + IF(ISNUMBER(VLOOKUP("1.1.5",A4:Z106,20,FALSE)),ROUND(VLOOKUP("1.1.5",A4:Z106,20,FALSE),4),0) + IF(ISNA(VLOOKUP("1.1.x",A4:Z106,20,FALSE)),0,ROUND(VLOOKUP("1.1.x",A4:Z106,20,FALSE),4))</f>
        <v>158754908</v>
      </c>
      <c r="U5" s="5">
        <f>IF(ISNUMBER(VLOOKUP("1.1.1",A4:Z106,21,FALSE)),ROUND(VLOOKUP("1.1.1",A4:Z106,21,FALSE),4),0) + IF(ISNUMBER(VLOOKUP("1.1.2",A4:Z106,21,FALSE)),ROUND(VLOOKUP("1.1.2",A4:Z106,21,FALSE),4),0) + IF(ISNUMBER(VLOOKUP("1.1.3",A4:Z106,21,FALSE)),ROUND(VLOOKUP("1.1.3",A4:Z106,21,FALSE),4),0) + IF(ISNUMBER(VLOOKUP("1.1.4",A4:Z106,21,FALSE)),ROUND(VLOOKUP("1.1.4",A4:Z106,21,FALSE),4),0) + IF(ISNUMBER(VLOOKUP("1.1.5",A4:Z106,21,FALSE)),ROUND(VLOOKUP("1.1.5",A4:Z106,21,FALSE),4),0) + IF(ISNA(VLOOKUP("1.1.x",A4:Z106,21,FALSE)),0,ROUND(VLOOKUP("1.1.x",A4:Z106,21,FALSE),4))</f>
        <v>162721280</v>
      </c>
      <c r="V5" s="5">
        <f>IF(ISNUMBER(VLOOKUP("1.1.1",A4:Z106,22,FALSE)),ROUND(VLOOKUP("1.1.1",A4:Z106,22,FALSE),4),0) + IF(ISNUMBER(VLOOKUP("1.1.2",A4:Z106,22,FALSE)),ROUND(VLOOKUP("1.1.2",A4:Z106,22,FALSE),4),0) + IF(ISNUMBER(VLOOKUP("1.1.3",A4:Z106,22,FALSE)),ROUND(VLOOKUP("1.1.3",A4:Z106,22,FALSE),4),0) + IF(ISNUMBER(VLOOKUP("1.1.4",A4:Z106,22,FALSE)),ROUND(VLOOKUP("1.1.4",A4:Z106,22,FALSE),4),0) + IF(ISNUMBER(VLOOKUP("1.1.5",A4:Z106,22,FALSE)),ROUND(VLOOKUP("1.1.5",A4:Z106,22,FALSE),4),0) + IF(ISNA(VLOOKUP("1.1.x",A4:Z106,22,FALSE)),0,ROUND(VLOOKUP("1.1.x",A4:Z106,22,FALSE),4))</f>
        <v>166786812</v>
      </c>
      <c r="W5" s="5">
        <f>IF(ISNUMBER(VLOOKUP("1.1.1",A4:Z106,23,FALSE)),ROUND(VLOOKUP("1.1.1",A4:Z106,23,FALSE),4),0) + IF(ISNUMBER(VLOOKUP("1.1.2",A4:Z106,23,FALSE)),ROUND(VLOOKUP("1.1.2",A4:Z106,23,FALSE),4),0) + IF(ISNUMBER(VLOOKUP("1.1.3",A4:Z106,23,FALSE)),ROUND(VLOOKUP("1.1.3",A4:Z106,23,FALSE),4),0) + IF(ISNUMBER(VLOOKUP("1.1.4",A4:Z106,23,FALSE)),ROUND(VLOOKUP("1.1.4",A4:Z106,23,FALSE),4),0) + IF(ISNUMBER(VLOOKUP("1.1.5",A4:Z106,23,FALSE)),ROUND(VLOOKUP("1.1.5",A4:Z106,23,FALSE),4),0) + IF(ISNA(VLOOKUP("1.1.x",A4:Z106,23,FALSE)),0,ROUND(VLOOKUP("1.1.x",A4:Z106,23,FALSE),4))</f>
        <v>170953982</v>
      </c>
      <c r="X5" s="5">
        <f>IF(ISNUMBER(VLOOKUP("1.1.1",A4:Z106,24,FALSE)),ROUND(VLOOKUP("1.1.1",A4:Z106,24,FALSE),4),0) + IF(ISNUMBER(VLOOKUP("1.1.2",A4:Z106,24,FALSE)),ROUND(VLOOKUP("1.1.2",A4:Z106,24,FALSE),4),0) + IF(ISNUMBER(VLOOKUP("1.1.3",A4:Z106,24,FALSE)),ROUND(VLOOKUP("1.1.3",A4:Z106,24,FALSE),4),0) + IF(ISNUMBER(VLOOKUP("1.1.4",A4:Z106,24,FALSE)),ROUND(VLOOKUP("1.1.4",A4:Z106,24,FALSE),4),0) + IF(ISNUMBER(VLOOKUP("1.1.5",A4:Z106,24,FALSE)),ROUND(VLOOKUP("1.1.5",A4:Z106,24,FALSE),4),0) + IF(ISNA(VLOOKUP("1.1.x",A4:Z106,24,FALSE)),0,ROUND(VLOOKUP("1.1.x",A4:Z106,24,FALSE),4))</f>
        <v>175225330</v>
      </c>
      <c r="Y5" s="5">
        <f>IF(ISNUMBER(VLOOKUP("1.1.1",A4:Z106,25,FALSE)),ROUND(VLOOKUP("1.1.1",A4:Z106,25,FALSE),4),0) + IF(ISNUMBER(VLOOKUP("1.1.2",A4:Z106,25,FALSE)),ROUND(VLOOKUP("1.1.2",A4:Z106,25,FALSE),4),0) + IF(ISNUMBER(VLOOKUP("1.1.3",A4:Z106,25,FALSE)),ROUND(VLOOKUP("1.1.3",A4:Z106,25,FALSE),4),0) + IF(ISNUMBER(VLOOKUP("1.1.4",A4:Z106,25,FALSE)),ROUND(VLOOKUP("1.1.4",A4:Z106,25,FALSE),4),0) + IF(ISNUMBER(VLOOKUP("1.1.5",A4:Z106,25,FALSE)),ROUND(VLOOKUP("1.1.5",A4:Z106,25,FALSE),4),0) + IF(ISNA(VLOOKUP("1.1.x",A4:Z106,25,FALSE)),0,ROUND(VLOOKUP("1.1.x",A4:Z106,25,FALSE),4))</f>
        <v>179603464</v>
      </c>
      <c r="Z5" s="5">
        <f>IF(ISNUMBER(VLOOKUP("1.1.1",A4:Z106,26,FALSE)),ROUND(VLOOKUP("1.1.1",A4:Z106,26,FALSE),4),0) + IF(ISNUMBER(VLOOKUP("1.1.2",A4:Z106,26,FALSE)),ROUND(VLOOKUP("1.1.2",A4:Z106,26,FALSE),4),0) + IF(ISNUMBER(VLOOKUP("1.1.3",A4:Z106,26,FALSE)),ROUND(VLOOKUP("1.1.3",A4:Z106,26,FALSE),4),0) + IF(ISNUMBER(VLOOKUP("1.1.4",A4:Z106,26,FALSE)),ROUND(VLOOKUP("1.1.4",A4:Z106,26,FALSE),4),0) + IF(ISNUMBER(VLOOKUP("1.1.5",A4:Z106,26,FALSE)),ROUND(VLOOKUP("1.1.5",A4:Z106,26,FALSE),4),0) + IF(ISNA(VLOOKUP("1.1.x",A4:Z106,26,FALSE)),0,ROUND(VLOOKUP("1.1.x",A4:Z106,26,FALSE),4))</f>
        <v>187143533</v>
      </c>
    </row>
    <row r="6" spans="1:26" ht="27" customHeight="1" x14ac:dyDescent="0.3">
      <c r="A6" s="6" t="s">
        <v>30</v>
      </c>
      <c r="B6" s="7" t="s">
        <v>31</v>
      </c>
      <c r="C6" s="8">
        <v>0</v>
      </c>
      <c r="D6" s="8">
        <v>18915346</v>
      </c>
      <c r="E6" s="8">
        <v>18765422</v>
      </c>
      <c r="F6" s="8">
        <v>20956734</v>
      </c>
      <c r="G6" s="8">
        <v>21218208.57</v>
      </c>
      <c r="H6" s="8">
        <v>17873450</v>
      </c>
      <c r="I6" s="8">
        <v>26354250</v>
      </c>
      <c r="J6" s="8">
        <v>29345559</v>
      </c>
      <c r="K6" s="9">
        <v>62743744.189999998</v>
      </c>
      <c r="L6" s="9">
        <v>64939775</v>
      </c>
      <c r="M6" s="9">
        <v>66952908</v>
      </c>
      <c r="N6" s="9">
        <v>68827589</v>
      </c>
      <c r="O6" s="9">
        <v>70754761</v>
      </c>
      <c r="P6" s="9">
        <v>72523630</v>
      </c>
      <c r="Q6" s="9">
        <v>74336721</v>
      </c>
      <c r="R6" s="9">
        <v>76195139</v>
      </c>
      <c r="S6" s="9">
        <v>78100017</v>
      </c>
      <c r="T6" s="9">
        <v>80052517</v>
      </c>
      <c r="U6" s="9">
        <v>82053830</v>
      </c>
      <c r="V6" s="9">
        <v>84105176</v>
      </c>
      <c r="W6" s="9">
        <v>86207805</v>
      </c>
      <c r="X6" s="9">
        <v>88363000</v>
      </c>
      <c r="Y6" s="9">
        <v>90572075</v>
      </c>
      <c r="Z6" s="9">
        <v>92383516</v>
      </c>
    </row>
    <row r="7" spans="1:26" ht="27" customHeight="1" x14ac:dyDescent="0.3">
      <c r="A7" s="6" t="s">
        <v>32</v>
      </c>
      <c r="B7" s="7" t="s">
        <v>33</v>
      </c>
      <c r="C7" s="8">
        <v>0</v>
      </c>
      <c r="D7" s="8">
        <v>290877.90999999997</v>
      </c>
      <c r="E7" s="8">
        <v>-37681.67</v>
      </c>
      <c r="F7" s="8">
        <v>407633.82</v>
      </c>
      <c r="G7" s="8">
        <v>185678.43</v>
      </c>
      <c r="H7" s="8">
        <v>536983</v>
      </c>
      <c r="I7" s="8">
        <v>330951</v>
      </c>
      <c r="J7" s="8">
        <v>330951</v>
      </c>
      <c r="K7" s="9">
        <v>887720.4</v>
      </c>
      <c r="L7" s="9">
        <v>918791</v>
      </c>
      <c r="M7" s="9">
        <v>947274</v>
      </c>
      <c r="N7" s="9">
        <v>973798</v>
      </c>
      <c r="O7" s="9">
        <v>1001064</v>
      </c>
      <c r="P7" s="9">
        <v>1026091</v>
      </c>
      <c r="Q7" s="9">
        <v>1051743</v>
      </c>
      <c r="R7" s="9">
        <v>1078037</v>
      </c>
      <c r="S7" s="9">
        <v>1104988</v>
      </c>
      <c r="T7" s="9">
        <v>1132613</v>
      </c>
      <c r="U7" s="9">
        <v>1160928</v>
      </c>
      <c r="V7" s="9">
        <v>1189951</v>
      </c>
      <c r="W7" s="9">
        <v>1219700</v>
      </c>
      <c r="X7" s="9">
        <v>1250192</v>
      </c>
      <c r="Y7" s="9">
        <v>1281447</v>
      </c>
      <c r="Z7" s="9">
        <v>1307076</v>
      </c>
    </row>
    <row r="8" spans="1:26" ht="14.25" customHeight="1" x14ac:dyDescent="0.3">
      <c r="A8" s="6" t="s">
        <v>34</v>
      </c>
      <c r="B8" s="7" t="s">
        <v>35</v>
      </c>
      <c r="C8" s="8">
        <v>0</v>
      </c>
      <c r="D8" s="8">
        <v>16553606</v>
      </c>
      <c r="E8" s="8">
        <v>17221542</v>
      </c>
      <c r="F8" s="8">
        <v>21648982</v>
      </c>
      <c r="G8" s="8">
        <v>20048040</v>
      </c>
      <c r="H8" s="8">
        <v>29184569.649999999</v>
      </c>
      <c r="I8" s="8">
        <v>33183620</v>
      </c>
      <c r="J8" s="8">
        <v>37375074</v>
      </c>
      <c r="K8" s="9">
        <v>7062512.3099999996</v>
      </c>
      <c r="L8" s="9">
        <v>7309700</v>
      </c>
      <c r="M8" s="9">
        <v>7536301</v>
      </c>
      <c r="N8" s="9">
        <v>7747317</v>
      </c>
      <c r="O8" s="9">
        <v>7964242</v>
      </c>
      <c r="P8" s="9">
        <v>8163348</v>
      </c>
      <c r="Q8" s="9">
        <v>8367432</v>
      </c>
      <c r="R8" s="9">
        <v>8576618</v>
      </c>
      <c r="S8" s="9">
        <v>8791033</v>
      </c>
      <c r="T8" s="9">
        <v>9010809</v>
      </c>
      <c r="U8" s="9">
        <v>9236079</v>
      </c>
      <c r="V8" s="9">
        <v>9466981</v>
      </c>
      <c r="W8" s="9">
        <v>9703656</v>
      </c>
      <c r="X8" s="9">
        <v>9946247</v>
      </c>
      <c r="Y8" s="9">
        <v>10194903</v>
      </c>
      <c r="Z8" s="9">
        <v>10398801</v>
      </c>
    </row>
    <row r="9" spans="1:26" ht="14.25" customHeight="1" x14ac:dyDescent="0.3">
      <c r="A9" s="6" t="s">
        <v>36</v>
      </c>
      <c r="B9" s="7" t="s">
        <v>37</v>
      </c>
      <c r="C9" s="8">
        <v>19398624.07</v>
      </c>
      <c r="D9" s="8">
        <v>24772938.690000001</v>
      </c>
      <c r="E9" s="8">
        <v>28665085.93</v>
      </c>
      <c r="F9" s="8">
        <v>28726189.77</v>
      </c>
      <c r="G9" s="8">
        <v>34729991.520000003</v>
      </c>
      <c r="H9" s="8">
        <v>13053249.050000001</v>
      </c>
      <c r="I9" s="8">
        <v>15927256.029999999</v>
      </c>
      <c r="J9" s="8">
        <v>28046021.09</v>
      </c>
      <c r="K9" s="9">
        <v>10189917.390000001</v>
      </c>
      <c r="L9" s="9">
        <v>8551732</v>
      </c>
      <c r="M9" s="9">
        <v>8925774.7899999991</v>
      </c>
      <c r="N9" s="9">
        <v>8951964</v>
      </c>
      <c r="O9" s="9">
        <v>11120495</v>
      </c>
      <c r="P9" s="9">
        <v>11250645</v>
      </c>
      <c r="Q9" s="9">
        <v>9435849</v>
      </c>
      <c r="R9" s="9">
        <v>9669245</v>
      </c>
      <c r="S9" s="9">
        <v>9908476</v>
      </c>
      <c r="T9" s="9">
        <v>10153688</v>
      </c>
      <c r="U9" s="9">
        <v>10405030</v>
      </c>
      <c r="V9" s="9">
        <v>10662656</v>
      </c>
      <c r="W9" s="9">
        <v>10926722</v>
      </c>
      <c r="X9" s="9">
        <v>11197390</v>
      </c>
      <c r="Y9" s="9">
        <v>11474825</v>
      </c>
      <c r="Z9" s="9">
        <v>13602322</v>
      </c>
    </row>
    <row r="10" spans="1:26" ht="14.25" customHeight="1" x14ac:dyDescent="0.3">
      <c r="A10" s="6" t="s">
        <v>38</v>
      </c>
      <c r="B10" s="7" t="s">
        <v>39</v>
      </c>
      <c r="C10" s="8">
        <v>0</v>
      </c>
      <c r="D10" s="8">
        <v>19819877.800000001</v>
      </c>
      <c r="E10" s="8">
        <v>26694449.16</v>
      </c>
      <c r="F10" s="8">
        <v>28752400.870000001</v>
      </c>
      <c r="G10" s="8">
        <v>34283047.07</v>
      </c>
      <c r="H10" s="8">
        <v>37590179.719999999</v>
      </c>
      <c r="I10" s="8">
        <v>45429488.719999999</v>
      </c>
      <c r="J10" s="8">
        <v>38772708.359999999</v>
      </c>
      <c r="K10" s="9">
        <v>45434022.280000001</v>
      </c>
      <c r="L10" s="9">
        <v>47379218</v>
      </c>
      <c r="M10" s="9">
        <v>48847974</v>
      </c>
      <c r="N10" s="9">
        <v>50215717</v>
      </c>
      <c r="O10" s="9">
        <v>51621757</v>
      </c>
      <c r="P10" s="9">
        <v>52912301</v>
      </c>
      <c r="Q10" s="9">
        <v>54235109</v>
      </c>
      <c r="R10" s="9">
        <v>55590987</v>
      </c>
      <c r="S10" s="9">
        <v>56980762</v>
      </c>
      <c r="T10" s="9">
        <v>58405281</v>
      </c>
      <c r="U10" s="9">
        <v>59865413</v>
      </c>
      <c r="V10" s="9">
        <v>61362048</v>
      </c>
      <c r="W10" s="9">
        <v>62896099</v>
      </c>
      <c r="X10" s="9">
        <v>64468501</v>
      </c>
      <c r="Y10" s="9">
        <v>66080214</v>
      </c>
      <c r="Z10" s="9">
        <v>69451818</v>
      </c>
    </row>
    <row r="11" spans="1:26" ht="14.25" customHeight="1" x14ac:dyDescent="0.3">
      <c r="A11" s="6" t="s">
        <v>40</v>
      </c>
      <c r="B11" s="7" t="s">
        <v>41</v>
      </c>
      <c r="C11" s="8">
        <v>0</v>
      </c>
      <c r="D11" s="8">
        <v>10088339.15</v>
      </c>
      <c r="E11" s="8">
        <v>11746605.07</v>
      </c>
      <c r="F11" s="8">
        <v>12386476.949999999</v>
      </c>
      <c r="G11" s="8">
        <v>13232647.119999999</v>
      </c>
      <c r="H11" s="8">
        <v>15004308.01</v>
      </c>
      <c r="I11" s="8">
        <v>20603559.550000001</v>
      </c>
      <c r="J11" s="8">
        <v>16997578.98</v>
      </c>
      <c r="K11" s="9">
        <v>19225236</v>
      </c>
      <c r="L11" s="9">
        <v>19898119</v>
      </c>
      <c r="M11" s="9">
        <v>20514961</v>
      </c>
      <c r="N11" s="9">
        <v>21089380</v>
      </c>
      <c r="O11" s="9">
        <v>21679883</v>
      </c>
      <c r="P11" s="9">
        <v>22221880</v>
      </c>
      <c r="Q11" s="9">
        <v>22777427</v>
      </c>
      <c r="R11" s="9">
        <v>23346863</v>
      </c>
      <c r="S11" s="9">
        <v>23930535</v>
      </c>
      <c r="T11" s="9">
        <v>24528798</v>
      </c>
      <c r="U11" s="9">
        <v>25142018</v>
      </c>
      <c r="V11" s="9">
        <v>25770568</v>
      </c>
      <c r="W11" s="9">
        <v>26414832</v>
      </c>
      <c r="X11" s="9">
        <v>27075203</v>
      </c>
      <c r="Y11" s="9">
        <v>27752083</v>
      </c>
      <c r="Z11" s="9">
        <v>28307125</v>
      </c>
    </row>
    <row r="12" spans="1:26" hidden="1" x14ac:dyDescent="0.3">
      <c r="A12" s="6" t="s">
        <v>42</v>
      </c>
      <c r="B12" s="7" t="s">
        <v>43</v>
      </c>
      <c r="C12" s="8">
        <v>51427451.600000001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</row>
    <row r="13" spans="1:26" ht="14.25" customHeight="1" x14ac:dyDescent="0.3">
      <c r="A13" s="2" t="s">
        <v>44</v>
      </c>
      <c r="B13" s="3" t="s">
        <v>45</v>
      </c>
      <c r="C13" s="4">
        <f>IF(ISNUMBER(VLOOKUP("1.2.1",A4:Z106,3,FALSE)),ROUND(VLOOKUP("1.2.1",A4:Z106,3,FALSE),4),0) + IF(ISNUMBER(VLOOKUP("1.2.2",A4:Z106,3,FALSE)),ROUND(VLOOKUP("1.2.2",A4:Z106,3,FALSE),4),0) + IF(ISNUMBER(VLOOKUP("1.2.x",A4:Z106,3,FALSE)),ROUND(VLOOKUP("1.2.x",A4:Z106,3,FALSE),4),0)</f>
        <v>13211567.550000001</v>
      </c>
      <c r="D13" s="4">
        <f>IF(ISNUMBER(VLOOKUP("1.2.1",A4:Z106,4,FALSE)),ROUND(VLOOKUP("1.2.1",A4:Z106,4,FALSE),4),0) + IF(ISNUMBER(VLOOKUP("1.2.2",A4:Z106,4,FALSE)),ROUND(VLOOKUP("1.2.2",A4:Z106,4,FALSE),4),0) + IF(ISNUMBER(VLOOKUP("1.2.x",A4:Z106,4,FALSE)),ROUND(VLOOKUP("1.2.x",A4:Z106,4,FALSE),4),0)</f>
        <v>5231569.1900000004</v>
      </c>
      <c r="E13" s="4">
        <f>IF(ISNUMBER(VLOOKUP("1.2.1",A4:Z106,5,FALSE)),ROUND(VLOOKUP("1.2.1",A4:Z106,5,FALSE),4),0) + IF(ISNUMBER(VLOOKUP("1.2.2",A4:Z106,5,FALSE)),ROUND(VLOOKUP("1.2.2",A4:Z106,5,FALSE),4),0) + IF(ISNUMBER(VLOOKUP("1.2.x",A4:Z106,5,FALSE)),ROUND(VLOOKUP("1.2.x",A4:Z106,5,FALSE),4),0)</f>
        <v>9256880.8500000015</v>
      </c>
      <c r="F13" s="4">
        <f>IF(ISNUMBER(VLOOKUP("1.2.1",A4:Z106,6,FALSE)),ROUND(VLOOKUP("1.2.1",A4:Z106,6,FALSE),4),0) + IF(ISNUMBER(VLOOKUP("1.2.2",A4:Z106,6,FALSE)),ROUND(VLOOKUP("1.2.2",A4:Z106,6,FALSE),4),0) + IF(ISNUMBER(VLOOKUP("1.2.x",A4:Z106,6,FALSE)),ROUND(VLOOKUP("1.2.x",A4:Z106,6,FALSE),4),0)</f>
        <v>22253451.690000001</v>
      </c>
      <c r="G13" s="4">
        <f>IF(ISNUMBER(VLOOKUP("1.2.1",A4:Z106,7,FALSE)),ROUND(VLOOKUP("1.2.1",A4:Z106,7,FALSE),4),0) + IF(ISNUMBER(VLOOKUP("1.2.2",A4:Z106,7,FALSE)),ROUND(VLOOKUP("1.2.2",A4:Z106,7,FALSE),4),0) + IF(ISNUMBER(VLOOKUP("1.2.x",A4:Z106,7,FALSE)),ROUND(VLOOKUP("1.2.x",A4:Z106,7,FALSE),4),0)</f>
        <v>5275850.34</v>
      </c>
      <c r="H13" s="4">
        <f>IF(ISNUMBER(VLOOKUP("1.2.1",A4:Z106,8,FALSE)),ROUND(VLOOKUP("1.2.1",A4:Z106,8,FALSE),4),0) + IF(ISNUMBER(VLOOKUP("1.2.2",A4:Z106,8,FALSE)),ROUND(VLOOKUP("1.2.2",A4:Z106,8,FALSE),4),0) + IF(ISNUMBER(VLOOKUP("1.2.x",A4:Z106,8,FALSE)),ROUND(VLOOKUP("1.2.x",A4:Z106,8,FALSE),4),0)</f>
        <v>20527973.829999998</v>
      </c>
      <c r="I13" s="4">
        <f>IF(ISNUMBER(VLOOKUP("1.2.1",A4:Z106,9,FALSE)),ROUND(VLOOKUP("1.2.1",A4:Z106,9,FALSE),4),0) + IF(ISNUMBER(VLOOKUP("1.2.2",A4:Z106,9,FALSE)),ROUND(VLOOKUP("1.2.2",A4:Z106,9,FALSE),4),0) + IF(ISNUMBER(VLOOKUP("1.2.x",A4:Z106,9,FALSE)),ROUND(VLOOKUP("1.2.x",A4:Z106,9,FALSE),4),0)</f>
        <v>39568338.890000001</v>
      </c>
      <c r="J13" s="4">
        <f>IF(ISNUMBER(VLOOKUP("1.2.1",A4:Z106,10,FALSE)),ROUND(VLOOKUP("1.2.1",A4:Z106,10,FALSE),4),0) + IF(ISNUMBER(VLOOKUP("1.2.2",A4:Z106,10,FALSE)),ROUND(VLOOKUP("1.2.2",A4:Z106,10,FALSE),4),0) + IF(ISNUMBER(VLOOKUP("1.2.x",A4:Z106,10,FALSE)),ROUND(VLOOKUP("1.2.x",A4:Z106,10,FALSE),4),0)</f>
        <v>13767977.029999999</v>
      </c>
      <c r="K13" s="5">
        <f>IF(ISNUMBER(VLOOKUP("1.2.1",A4:Z106,11,FALSE)),ROUND(VLOOKUP("1.2.1",A4:Z106,11,FALSE),4),0) + IF(ISNUMBER(VLOOKUP("1.2.2",A4:Z106,11,FALSE)),ROUND(VLOOKUP("1.2.2",A4:Z106,11,FALSE),4),0) + IF(ISNUMBER(VLOOKUP("1.2.x",A4:Z106,11,FALSE)),ROUND(VLOOKUP("1.2.x",A4:Z106,11,FALSE),4),0)</f>
        <v>39689164.439999998</v>
      </c>
      <c r="L13" s="5">
        <f>IF(ISNUMBER(VLOOKUP("1.2.1",A4:Z106,12,FALSE)),ROUND(VLOOKUP("1.2.1",A4:Z106,12,FALSE),4),0) + IF(ISNUMBER(VLOOKUP("1.2.2",A4:Z106,12,FALSE)),ROUND(VLOOKUP("1.2.2",A4:Z106,12,FALSE),4),0) + IF(ISNUMBER(VLOOKUP("1.2.x",A4:Z106,12,FALSE)),ROUND(VLOOKUP("1.2.x",A4:Z106,12,FALSE),4),0)</f>
        <v>47936582.030000001</v>
      </c>
      <c r="M13" s="5">
        <f>IF(ISNUMBER(VLOOKUP("1.2.1",A4:Z106,13,FALSE)),ROUND(VLOOKUP("1.2.1",A4:Z106,13,FALSE),4),0) + IF(ISNUMBER(VLOOKUP("1.2.2",A4:Z106,13,FALSE)),ROUND(VLOOKUP("1.2.2",A4:Z106,13,FALSE),4),0) + IF(ISNUMBER(VLOOKUP("1.2.x",A4:Z106,13,FALSE)),ROUND(VLOOKUP("1.2.x",A4:Z106,13,FALSE),4),0)</f>
        <v>47838547.57</v>
      </c>
      <c r="N13" s="5">
        <f>IF(ISNUMBER(VLOOKUP("1.2.1",A4:Z106,14,FALSE)),ROUND(VLOOKUP("1.2.1",A4:Z106,14,FALSE),4),0) + IF(ISNUMBER(VLOOKUP("1.2.2",A4:Z106,14,FALSE)),ROUND(VLOOKUP("1.2.2",A4:Z106,14,FALSE),4),0) + IF(ISNUMBER(VLOOKUP("1.2.x",A4:Z106,14,FALSE)),ROUND(VLOOKUP("1.2.x",A4:Z106,14,FALSE),4),0)</f>
        <v>200000</v>
      </c>
      <c r="O13" s="5">
        <f>IF(ISNUMBER(VLOOKUP("1.2.1",A4:Z106,15,FALSE)),ROUND(VLOOKUP("1.2.1",A4:Z106,15,FALSE),4),0) + IF(ISNUMBER(VLOOKUP("1.2.2",A4:Z106,15,FALSE)),ROUND(VLOOKUP("1.2.2",A4:Z106,15,FALSE),4),0) + IF(ISNUMBER(VLOOKUP("1.2.x",A4:Z106,15,FALSE)),ROUND(VLOOKUP("1.2.x",A4:Z106,15,FALSE),4),0)</f>
        <v>300000</v>
      </c>
      <c r="P13" s="5">
        <f>IF(ISNUMBER(VLOOKUP("1.2.1",A4:Z106,16,FALSE)),ROUND(VLOOKUP("1.2.1",A4:Z106,16,FALSE),4),0) + IF(ISNUMBER(VLOOKUP("1.2.2",A4:Z106,16,FALSE)),ROUND(VLOOKUP("1.2.2",A4:Z106,16,FALSE),4),0) + IF(ISNUMBER(VLOOKUP("1.2.x",A4:Z106,16,FALSE)),ROUND(VLOOKUP("1.2.x",A4:Z106,16,FALSE),4),0)</f>
        <v>500000</v>
      </c>
      <c r="Q13" s="5">
        <f>IF(ISNUMBER(VLOOKUP("1.2.1",A4:Z106,17,FALSE)),ROUND(VLOOKUP("1.2.1",A4:Z106,17,FALSE),4),0) + IF(ISNUMBER(VLOOKUP("1.2.2",A4:Z106,17,FALSE)),ROUND(VLOOKUP("1.2.2",A4:Z106,17,FALSE),4),0) + IF(ISNUMBER(VLOOKUP("1.2.x",A4:Z106,17,FALSE)),ROUND(VLOOKUP("1.2.x",A4:Z106,17,FALSE),4),0)</f>
        <v>500000</v>
      </c>
      <c r="R13" s="5">
        <f>IF(ISNUMBER(VLOOKUP("1.2.1",A4:Z106,18,FALSE)),ROUND(VLOOKUP("1.2.1",A4:Z106,18,FALSE),4),0) + IF(ISNUMBER(VLOOKUP("1.2.2",A4:Z106,18,FALSE)),ROUND(VLOOKUP("1.2.2",A4:Z106,18,FALSE),4),0) + IF(ISNUMBER(VLOOKUP("1.2.x",A4:Z106,18,FALSE)),ROUND(VLOOKUP("1.2.x",A4:Z106,18,FALSE),4),0)</f>
        <v>300000</v>
      </c>
      <c r="S13" s="5">
        <f>IF(ISNUMBER(VLOOKUP("1.2.1",A4:Z106,19,FALSE)),ROUND(VLOOKUP("1.2.1",A4:Z106,19,FALSE),4),0) + IF(ISNUMBER(VLOOKUP("1.2.2",A4:Z106,19,FALSE)),ROUND(VLOOKUP("1.2.2",A4:Z106,19,FALSE),4),0) + IF(ISNUMBER(VLOOKUP("1.2.x",A4:Z106,19,FALSE)),ROUND(VLOOKUP("1.2.x",A4:Z106,19,FALSE),4),0)</f>
        <v>100000</v>
      </c>
      <c r="T13" s="5">
        <f>IF(ISNUMBER(VLOOKUP("1.2.1",A4:Z106,20,FALSE)),ROUND(VLOOKUP("1.2.1",A4:Z106,20,FALSE),4),0) + IF(ISNUMBER(VLOOKUP("1.2.2",A4:Z106,20,FALSE)),ROUND(VLOOKUP("1.2.2",A4:Z106,20,FALSE),4),0) + IF(ISNUMBER(VLOOKUP("1.2.x",A4:Z106,20,FALSE)),ROUND(VLOOKUP("1.2.x",A4:Z106,20,FALSE),4),0)</f>
        <v>400000</v>
      </c>
      <c r="U13" s="5">
        <f>IF(ISNUMBER(VLOOKUP("1.2.1",A4:Z106,21,FALSE)),ROUND(VLOOKUP("1.2.1",A4:Z106,21,FALSE),4),0) + IF(ISNUMBER(VLOOKUP("1.2.2",A4:Z106,21,FALSE)),ROUND(VLOOKUP("1.2.2",A4:Z106,21,FALSE),4),0) + IF(ISNUMBER(VLOOKUP("1.2.x",A4:Z106,21,FALSE)),ROUND(VLOOKUP("1.2.x",A4:Z106,21,FALSE),4),0)</f>
        <v>400000</v>
      </c>
      <c r="V13" s="5">
        <f>IF(ISNUMBER(VLOOKUP("1.2.1",A4:Z106,22,FALSE)),ROUND(VLOOKUP("1.2.1",A4:Z106,22,FALSE),4),0) + IF(ISNUMBER(VLOOKUP("1.2.2",A4:Z106,22,FALSE)),ROUND(VLOOKUP("1.2.2",A4:Z106,22,FALSE),4),0) + IF(ISNUMBER(VLOOKUP("1.2.x",A4:Z106,22,FALSE)),ROUND(VLOOKUP("1.2.x",A4:Z106,22,FALSE),4),0)</f>
        <v>500000</v>
      </c>
      <c r="W13" s="5">
        <f>IF(ISNUMBER(VLOOKUP("1.2.1",A4:Z106,23,FALSE)),ROUND(VLOOKUP("1.2.1",A4:Z106,23,FALSE),4),0) + IF(ISNUMBER(VLOOKUP("1.2.2",A4:Z106,23,FALSE)),ROUND(VLOOKUP("1.2.2",A4:Z106,23,FALSE),4),0) + IF(ISNUMBER(VLOOKUP("1.2.x",A4:Z106,23,FALSE)),ROUND(VLOOKUP("1.2.x",A4:Z106,23,FALSE),4),0)</f>
        <v>500000</v>
      </c>
      <c r="X13" s="5">
        <f>IF(ISNUMBER(VLOOKUP("1.2.1",A4:Z106,24,FALSE)),ROUND(VLOOKUP("1.2.1",A4:Z106,24,FALSE),4),0) + IF(ISNUMBER(VLOOKUP("1.2.2",A4:Z106,24,FALSE)),ROUND(VLOOKUP("1.2.2",A4:Z106,24,FALSE),4),0) + IF(ISNUMBER(VLOOKUP("1.2.x",A4:Z106,24,FALSE)),ROUND(VLOOKUP("1.2.x",A4:Z106,24,FALSE),4),0)</f>
        <v>500000</v>
      </c>
      <c r="Y13" s="5">
        <f>IF(ISNUMBER(VLOOKUP("1.2.1",A4:Z106,25,FALSE)),ROUND(VLOOKUP("1.2.1",A4:Z106,25,FALSE),4),0) + IF(ISNUMBER(VLOOKUP("1.2.2",A4:Z106,25,FALSE)),ROUND(VLOOKUP("1.2.2",A4:Z106,25,FALSE),4),0) + IF(ISNUMBER(VLOOKUP("1.2.x",A4:Z106,25,FALSE)),ROUND(VLOOKUP("1.2.x",A4:Z106,25,FALSE),4),0)</f>
        <v>500000</v>
      </c>
      <c r="Z13" s="5">
        <f>IF(ISNUMBER(VLOOKUP("1.2.1",A4:Z106,26,FALSE)),ROUND(VLOOKUP("1.2.1",A4:Z106,26,FALSE),4),0) + IF(ISNUMBER(VLOOKUP("1.2.2",A4:Z106,26,FALSE)),ROUND(VLOOKUP("1.2.2",A4:Z106,26,FALSE),4),0) + IF(ISNUMBER(VLOOKUP("1.2.x",A4:Z106,26,FALSE)),ROUND(VLOOKUP("1.2.x",A4:Z106,26,FALSE),4),0)</f>
        <v>400000</v>
      </c>
    </row>
    <row r="14" spans="1:26" ht="14.25" customHeight="1" x14ac:dyDescent="0.3">
      <c r="A14" s="6" t="s">
        <v>46</v>
      </c>
      <c r="B14" s="7" t="s">
        <v>47</v>
      </c>
      <c r="C14" s="8">
        <v>918322.65</v>
      </c>
      <c r="D14" s="8">
        <v>588054.12</v>
      </c>
      <c r="E14" s="8">
        <v>2577418.2000000002</v>
      </c>
      <c r="F14" s="8">
        <v>3826226.89</v>
      </c>
      <c r="G14" s="8">
        <v>479515.32</v>
      </c>
      <c r="H14" s="8">
        <v>1220283.74</v>
      </c>
      <c r="I14" s="8">
        <v>3910032</v>
      </c>
      <c r="J14" s="8">
        <v>651753.24</v>
      </c>
      <c r="K14" s="9">
        <v>1294085</v>
      </c>
      <c r="L14" s="9">
        <v>1000000</v>
      </c>
      <c r="M14" s="9">
        <v>1000000</v>
      </c>
      <c r="N14" s="9">
        <v>200000</v>
      </c>
      <c r="O14" s="9">
        <v>300000</v>
      </c>
      <c r="P14" s="9">
        <v>500000</v>
      </c>
      <c r="Q14" s="9">
        <v>500000</v>
      </c>
      <c r="R14" s="9">
        <v>300000</v>
      </c>
      <c r="S14" s="9">
        <v>100000</v>
      </c>
      <c r="T14" s="9">
        <v>400000</v>
      </c>
      <c r="U14" s="9">
        <v>400000</v>
      </c>
      <c r="V14" s="9">
        <v>500000</v>
      </c>
      <c r="W14" s="9">
        <v>500000</v>
      </c>
      <c r="X14" s="9">
        <v>500000</v>
      </c>
      <c r="Y14" s="9">
        <v>500000</v>
      </c>
      <c r="Z14" s="9">
        <v>400000</v>
      </c>
    </row>
    <row r="15" spans="1:26" ht="14.25" customHeight="1" x14ac:dyDescent="0.3">
      <c r="A15" s="6" t="s">
        <v>48</v>
      </c>
      <c r="B15" s="7" t="s">
        <v>49</v>
      </c>
      <c r="C15" s="8">
        <v>0</v>
      </c>
      <c r="D15" s="8">
        <v>4639656.58</v>
      </c>
      <c r="E15" s="8">
        <v>6674510.5999999996</v>
      </c>
      <c r="F15" s="8">
        <v>18419345.48</v>
      </c>
      <c r="G15" s="8">
        <v>4793418.18</v>
      </c>
      <c r="H15" s="8">
        <v>19299542.079999998</v>
      </c>
      <c r="I15" s="8">
        <v>35652406.890000001</v>
      </c>
      <c r="J15" s="8">
        <v>13113357.6</v>
      </c>
      <c r="K15" s="9">
        <v>38389179.439999998</v>
      </c>
      <c r="L15" s="9">
        <v>46936582.030000001</v>
      </c>
      <c r="M15" s="9">
        <v>46838547.57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</row>
    <row r="16" spans="1:26" hidden="1" x14ac:dyDescent="0.3">
      <c r="A16" s="6" t="s">
        <v>50</v>
      </c>
      <c r="B16" s="7" t="s">
        <v>43</v>
      </c>
      <c r="C16" s="8">
        <v>12293244.9</v>
      </c>
      <c r="D16" s="8">
        <v>3858.49</v>
      </c>
      <c r="E16" s="8">
        <v>4952.05</v>
      </c>
      <c r="F16" s="8">
        <v>7879.32</v>
      </c>
      <c r="G16" s="8">
        <v>2916.84</v>
      </c>
      <c r="H16" s="8">
        <v>8148.01</v>
      </c>
      <c r="I16" s="8">
        <v>5900</v>
      </c>
      <c r="J16" s="8">
        <v>2866.19</v>
      </c>
      <c r="K16" s="9">
        <v>5900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</row>
    <row r="17" spans="1:26" ht="14.25" customHeight="1" x14ac:dyDescent="0.3">
      <c r="A17" s="2" t="s">
        <v>51</v>
      </c>
      <c r="B17" s="3" t="s">
        <v>52</v>
      </c>
      <c r="C17" s="4">
        <f>IF(ISNUMBER(VLOOKUP("2.1",A4:Z106,3,FALSE)),ROUND(VLOOKUP("2.1",A4:Z106,3,FALSE),4),0) + IF(ISNUMBER(VLOOKUP("2.2",A4:Z106,3,FALSE)),ROUND(VLOOKUP("2.2",A4:Z106,3,FALSE),4),0)</f>
        <v>95573900.829999998</v>
      </c>
      <c r="D17" s="4">
        <f>IF(ISNUMBER(VLOOKUP("2.1",A4:Z106,4,FALSE)),ROUND(VLOOKUP("2.1",A4:Z106,4,FALSE),4),0) + IF(ISNUMBER(VLOOKUP("2.2",A4:Z106,4,FALSE)),ROUND(VLOOKUP("2.2",A4:Z106,4,FALSE),4),0)</f>
        <v>87341465.739999995</v>
      </c>
      <c r="E17" s="4">
        <f>IF(ISNUMBER(VLOOKUP("2.1",A4:Z106,5,FALSE)),ROUND(VLOOKUP("2.1",A4:Z106,5,FALSE),4),0) + IF(ISNUMBER(VLOOKUP("2.2",A4:Z106,5,FALSE)),ROUND(VLOOKUP("2.2",A4:Z106,5,FALSE),4),0)</f>
        <v>92271154.060000002</v>
      </c>
      <c r="F17" s="4">
        <f>IF(ISNUMBER(VLOOKUP("2.1",A4:Z106,6,FALSE)),ROUND(VLOOKUP("2.1",A4:Z106,6,FALSE),4),0) + IF(ISNUMBER(VLOOKUP("2.2",A4:Z106,6,FALSE)),ROUND(VLOOKUP("2.2",A4:Z106,6,FALSE),4),0)</f>
        <v>119431289.26000001</v>
      </c>
      <c r="G17" s="4">
        <f>IF(ISNUMBER(VLOOKUP("2.1",A4:Z106,7,FALSE)),ROUND(VLOOKUP("2.1",A4:Z106,7,FALSE),4),0) + IF(ISNUMBER(VLOOKUP("2.2",A4:Z106,7,FALSE)),ROUND(VLOOKUP("2.2",A4:Z106,7,FALSE),4),0)</f>
        <v>125040023.72999999</v>
      </c>
      <c r="H17" s="4">
        <f>IF(ISNUMBER(VLOOKUP("2.1",A4:Z106,8,FALSE)),ROUND(VLOOKUP("2.1",A4:Z106,8,FALSE),4),0) + IF(ISNUMBER(VLOOKUP("2.2",A4:Z106,8,FALSE)),ROUND(VLOOKUP("2.2",A4:Z106,8,FALSE),4),0)</f>
        <v>132036821.41</v>
      </c>
      <c r="I17" s="4">
        <f>IF(ISNUMBER(VLOOKUP("2.1",A4:Z106,9,FALSE)),ROUND(VLOOKUP("2.1",A4:Z106,9,FALSE),4),0) + IF(ISNUMBER(VLOOKUP("2.2",A4:Z106,9,FALSE)),ROUND(VLOOKUP("2.2",A4:Z106,9,FALSE),4),0)</f>
        <v>173427011.61000001</v>
      </c>
      <c r="J17" s="4">
        <f>IF(ISNUMBER(VLOOKUP("2.1",A4:Z106,10,FALSE)),ROUND(VLOOKUP("2.1",A4:Z106,10,FALSE),4),0) + IF(ISNUMBER(VLOOKUP("2.2",A4:Z106,10,FALSE)),ROUND(VLOOKUP("2.2",A4:Z106,10,FALSE),4),0)</f>
        <v>152522210.48000002</v>
      </c>
      <c r="K17" s="5">
        <f>IF(ISNUMBER(VLOOKUP("2.1",A4:Z106,11,FALSE)),ROUND(VLOOKUP("2.1",A4:Z106,11,FALSE),4),0) + IF(ISNUMBER(VLOOKUP("2.2",A4:Z106,11,FALSE)),ROUND(VLOOKUP("2.2",A4:Z106,11,FALSE),4),0)</f>
        <v>177144824.66</v>
      </c>
      <c r="L17" s="5">
        <f>IF(ISNUMBER(VLOOKUP("2.1",A4:Z106,12,FALSE)),ROUND(VLOOKUP("2.1",A4:Z106,12,FALSE),4),0) + IF(ISNUMBER(VLOOKUP("2.2",A4:Z106,12,FALSE)),ROUND(VLOOKUP("2.2",A4:Z106,12,FALSE),4),0)</f>
        <v>172814698.03</v>
      </c>
      <c r="M17" s="5">
        <f>IF(ISNUMBER(VLOOKUP("2.1",A4:Z106,13,FALSE)),ROUND(VLOOKUP("2.1",A4:Z106,13,FALSE),4),0) + IF(ISNUMBER(VLOOKUP("2.2",A4:Z106,13,FALSE)),ROUND(VLOOKUP("2.2",A4:Z106,13,FALSE),4),0)</f>
        <v>176645847.56999999</v>
      </c>
      <c r="N17" s="5">
        <f>IF(ISNUMBER(VLOOKUP("2.1",A4:Z106,14,FALSE)),ROUND(VLOOKUP("2.1",A4:Z106,14,FALSE),4),0) + IF(ISNUMBER(VLOOKUP("2.2",A4:Z106,14,FALSE)),ROUND(VLOOKUP("2.2",A4:Z106,14,FALSE),4),0)</f>
        <v>132979100</v>
      </c>
      <c r="O17" s="5">
        <f>IF(ISNUMBER(VLOOKUP("2.1",A4:Z106,15,FALSE)),ROUND(VLOOKUP("2.1",A4:Z106,15,FALSE),4),0) + IF(ISNUMBER(VLOOKUP("2.2",A4:Z106,15,FALSE)),ROUND(VLOOKUP("2.2",A4:Z106,15,FALSE),4),0)</f>
        <v>137262319</v>
      </c>
      <c r="P17" s="5">
        <f>IF(ISNUMBER(VLOOKUP("2.1",A4:Z106,16,FALSE)),ROUND(VLOOKUP("2.1",A4:Z106,16,FALSE),4),0) + IF(ISNUMBER(VLOOKUP("2.2",A4:Z106,16,FALSE)),ROUND(VLOOKUP("2.2",A4:Z106,16,FALSE),4),0)</f>
        <v>140876015</v>
      </c>
      <c r="Q17" s="5">
        <f>IF(ISNUMBER(VLOOKUP("2.1",A4:Z106,17,FALSE)),ROUND(VLOOKUP("2.1",A4:Z106,17,FALSE),4),0) + IF(ISNUMBER(VLOOKUP("2.2",A4:Z106,17,FALSE)),ROUND(VLOOKUP("2.2",A4:Z106,17,FALSE),4),0)</f>
        <v>143926854</v>
      </c>
      <c r="R17" s="5">
        <f>IF(ISNUMBER(VLOOKUP("2.1",A4:Z106,18,FALSE)),ROUND(VLOOKUP("2.1",A4:Z106,18,FALSE),4),0) + IF(ISNUMBER(VLOOKUP("2.2",A4:Z106,18,FALSE)),ROUND(VLOOKUP("2.2",A4:Z106,18,FALSE),4),0)</f>
        <v>147410026</v>
      </c>
      <c r="S17" s="5">
        <f>IF(ISNUMBER(VLOOKUP("2.1",A4:Z106,19,FALSE)),ROUND(VLOOKUP("2.1",A4:Z106,19,FALSE),4),0) + IF(ISNUMBER(VLOOKUP("2.2",A4:Z106,19,FALSE)),ROUND(VLOOKUP("2.2",A4:Z106,19,FALSE),4),0)</f>
        <v>151485276</v>
      </c>
      <c r="T17" s="5">
        <f>IF(ISNUMBER(VLOOKUP("2.1",A4:Z106,20,FALSE)),ROUND(VLOOKUP("2.1",A4:Z106,20,FALSE),4),0) + IF(ISNUMBER(VLOOKUP("2.2",A4:Z106,20,FALSE)),ROUND(VLOOKUP("2.2",A4:Z106,20,FALSE),4),0)</f>
        <v>155654908</v>
      </c>
      <c r="U17" s="5">
        <f>IF(ISNUMBER(VLOOKUP("2.1",A4:Z106,21,FALSE)),ROUND(VLOOKUP("2.1",A4:Z106,21,FALSE),4),0) + IF(ISNUMBER(VLOOKUP("2.2",A4:Z106,21,FALSE)),ROUND(VLOOKUP("2.2",A4:Z106,21,FALSE),4),0)</f>
        <v>155121280</v>
      </c>
      <c r="V17" s="5">
        <f>IF(ISNUMBER(VLOOKUP("2.1",A4:Z106,22,FALSE)),ROUND(VLOOKUP("2.1",A4:Z106,22,FALSE),4),0) + IF(ISNUMBER(VLOOKUP("2.2",A4:Z106,22,FALSE)),ROUND(VLOOKUP("2.2",A4:Z106,22,FALSE),4),0)</f>
        <v>160286812</v>
      </c>
      <c r="W17" s="5">
        <f>IF(ISNUMBER(VLOOKUP("2.1",A4:Z106,23,FALSE)),ROUND(VLOOKUP("2.1",A4:Z106,23,FALSE),4),0) + IF(ISNUMBER(VLOOKUP("2.2",A4:Z106,23,FALSE)),ROUND(VLOOKUP("2.2",A4:Z106,23,FALSE),4),0)</f>
        <v>167453982</v>
      </c>
      <c r="X17" s="5">
        <f>IF(ISNUMBER(VLOOKUP("2.1",A4:Z106,24,FALSE)),ROUND(VLOOKUP("2.1",A4:Z106,24,FALSE),4),0) + IF(ISNUMBER(VLOOKUP("2.2",A4:Z106,24,FALSE)),ROUND(VLOOKUP("2.2",A4:Z106,24,FALSE),4),0)</f>
        <v>168725330</v>
      </c>
      <c r="Y17" s="5">
        <f>IF(ISNUMBER(VLOOKUP("2.1",A4:Z106,25,FALSE)),ROUND(VLOOKUP("2.1",A4:Z106,25,FALSE),4),0) + IF(ISNUMBER(VLOOKUP("2.2",A4:Z106,25,FALSE)),ROUND(VLOOKUP("2.2",A4:Z106,25,FALSE),4),0)</f>
        <v>174103464</v>
      </c>
      <c r="Z17" s="5">
        <f>IF(ISNUMBER(VLOOKUP("2.1",A4:Z106,26,FALSE)),ROUND(VLOOKUP("2.1",A4:Z106,26,FALSE),4),0) + IF(ISNUMBER(VLOOKUP("2.2",A4:Z106,26,FALSE)),ROUND(VLOOKUP("2.2",A4:Z106,26,FALSE),4),0)</f>
        <v>180458223.38999999</v>
      </c>
    </row>
    <row r="18" spans="1:26" ht="14.25" customHeight="1" x14ac:dyDescent="0.3">
      <c r="A18" s="2" t="s">
        <v>53</v>
      </c>
      <c r="B18" s="3" t="s">
        <v>54</v>
      </c>
      <c r="C18" s="4">
        <f>IF(ISNUMBER(VLOOKUP("2.1.1",A4:Z106,3,FALSE)),ROUND(VLOOKUP("2.1.1",A4:Z106,3,FALSE),4),0) + IF(ISNUMBER(VLOOKUP("2.1.2",A4:Z106,3,FALSE)),ROUND(VLOOKUP("2.1.2",A4:Z106,3,FALSE),4),0) + IF(ISNUMBER(VLOOKUP("2.1.3",A4:Z106,3,FALSE)),ROUND(VLOOKUP("2.1.3",A4:Z106,3,FALSE),4),0) + IF(ISNUMBER(VLOOKUP("2.1.x",A4:Z106,3,FALSE)),ROUND(VLOOKUP("2.1.x",A4:Z106,3,FALSE),4),0)</f>
        <v>63693126.420000002</v>
      </c>
      <c r="D18" s="4">
        <f>IF(ISNUMBER(VLOOKUP("2.1.1",A4:Z106,4,FALSE)),ROUND(VLOOKUP("2.1.1",A4:Z106,4,FALSE),4),0) + IF(ISNUMBER(VLOOKUP("2.1.2",A4:Z106,4,FALSE)),ROUND(VLOOKUP("2.1.2",A4:Z106,4,FALSE),4),0) + IF(ISNUMBER(VLOOKUP("2.1.3",A4:Z106,4,FALSE)),ROUND(VLOOKUP("2.1.3",A4:Z106,4,FALSE),4),0) + IF(ISNUMBER(VLOOKUP("2.1.x",A4:Z106,4,FALSE)),ROUND(VLOOKUP("2.1.x",A4:Z106,4,FALSE),4),0)</f>
        <v>72990058.159999996</v>
      </c>
      <c r="E18" s="4">
        <f>IF(ISNUMBER(VLOOKUP("2.1.1",A4:Z106,5,FALSE)),ROUND(VLOOKUP("2.1.1",A4:Z106,5,FALSE),4),0) + IF(ISNUMBER(VLOOKUP("2.1.2",A4:Z106,5,FALSE)),ROUND(VLOOKUP("2.1.2",A4:Z106,5,FALSE),4),0) + IF(ISNUMBER(VLOOKUP("2.1.3",A4:Z106,5,FALSE)),ROUND(VLOOKUP("2.1.3",A4:Z106,5,FALSE),4),0) + IF(ISNUMBER(VLOOKUP("2.1.x",A4:Z106,5,FALSE)),ROUND(VLOOKUP("2.1.x",A4:Z106,5,FALSE),4),0)</f>
        <v>80644978.739999995</v>
      </c>
      <c r="F18" s="4">
        <f>IF(ISNUMBER(VLOOKUP("2.1.1",A4:Z106,6,FALSE)),ROUND(VLOOKUP("2.1.1",A4:Z106,6,FALSE),4),0) + IF(ISNUMBER(VLOOKUP("2.1.2",A4:Z106,6,FALSE)),ROUND(VLOOKUP("2.1.2",A4:Z106,6,FALSE),4),0) + IF(ISNUMBER(VLOOKUP("2.1.3",A4:Z106,6,FALSE)),ROUND(VLOOKUP("2.1.3",A4:Z106,6,FALSE),4),0) + IF(ISNUMBER(VLOOKUP("2.1.x",A4:Z106,6,FALSE)),ROUND(VLOOKUP("2.1.x",A4:Z106,6,FALSE),4),0)</f>
        <v>90225270.670000002</v>
      </c>
      <c r="G18" s="4">
        <f>IF(ISNUMBER(VLOOKUP("2.1.1",A4:Z106,7,FALSE)),ROUND(VLOOKUP("2.1.1",A4:Z106,7,FALSE),4),0) + IF(ISNUMBER(VLOOKUP("2.1.2",A4:Z106,7,FALSE)),ROUND(VLOOKUP("2.1.2",A4:Z106,7,FALSE),4),0) + IF(ISNUMBER(VLOOKUP("2.1.3",A4:Z106,7,FALSE)),ROUND(VLOOKUP("2.1.3",A4:Z106,7,FALSE),4),0) + IF(ISNUMBER(VLOOKUP("2.1.x",A4:Z106,7,FALSE)),ROUND(VLOOKUP("2.1.x",A4:Z106,7,FALSE),4),0)</f>
        <v>105019742.84999999</v>
      </c>
      <c r="H18" s="4">
        <f>IF(ISNUMBER(VLOOKUP("2.1.1",A4:Z106,8,FALSE)),ROUND(VLOOKUP("2.1.1",A4:Z106,8,FALSE),4),0) + IF(ISNUMBER(VLOOKUP("2.1.2",A4:Z106,8,FALSE)),ROUND(VLOOKUP("2.1.2",A4:Z106,8,FALSE),4),0) + IF(ISNUMBER(VLOOKUP("2.1.3",A4:Z106,8,FALSE)),ROUND(VLOOKUP("2.1.3",A4:Z106,8,FALSE),4),0) + IF(ISNUMBER(VLOOKUP("2.1.x",A4:Z106,8,FALSE)),ROUND(VLOOKUP("2.1.x",A4:Z106,8,FALSE),4),0)</f>
        <v>99310977.319999993</v>
      </c>
      <c r="I18" s="4">
        <f>IF(ISNUMBER(VLOOKUP("2.1.1",A4:Z106,9,FALSE)),ROUND(VLOOKUP("2.1.1",A4:Z106,9,FALSE),4),0) + IF(ISNUMBER(VLOOKUP("2.1.2",A4:Z106,9,FALSE)),ROUND(VLOOKUP("2.1.2",A4:Z106,9,FALSE),4),0) + IF(ISNUMBER(VLOOKUP("2.1.3",A4:Z106,9,FALSE)),ROUND(VLOOKUP("2.1.3",A4:Z106,9,FALSE),4),0) + IF(ISNUMBER(VLOOKUP("2.1.x",A4:Z106,9,FALSE)),ROUND(VLOOKUP("2.1.x",A4:Z106,9,FALSE),4),0)</f>
        <v>117044003.86</v>
      </c>
      <c r="J18" s="4">
        <f>IF(ISNUMBER(VLOOKUP("2.1.1",A4:Z106,10,FALSE)),ROUND(VLOOKUP("2.1.1",A4:Z106,10,FALSE),4),0) + IF(ISNUMBER(VLOOKUP("2.1.2",A4:Z106,10,FALSE)),ROUND(VLOOKUP("2.1.2",A4:Z106,10,FALSE),4),0) + IF(ISNUMBER(VLOOKUP("2.1.3",A4:Z106,10,FALSE)),ROUND(VLOOKUP("2.1.3",A4:Z106,10,FALSE),4),0) + IF(ISNUMBER(VLOOKUP("2.1.x",A4:Z106,10,FALSE)),ROUND(VLOOKUP("2.1.x",A4:Z106,10,FALSE),4),0)</f>
        <v>119185498.59</v>
      </c>
      <c r="K18" s="5">
        <f>IF(ISNUMBER(VLOOKUP("2.1.1",A4:Z106,11,FALSE)),ROUND(VLOOKUP("2.1.1",A4:Z106,11,FALSE),4),0) + IF(ISNUMBER(VLOOKUP("2.1.2",A4:Z106,11,FALSE)),ROUND(VLOOKUP("2.1.2",A4:Z106,11,FALSE),4),0) + IF(ISNUMBER(VLOOKUP("2.1.3",A4:Z106,11,FALSE)),ROUND(VLOOKUP("2.1.3",A4:Z106,11,FALSE),4),0) + IF(ISNUMBER(VLOOKUP("2.1.x",A4:Z106,11,FALSE)),ROUND(VLOOKUP("2.1.x",A4:Z106,11,FALSE),4),0)</f>
        <v>117524292.27000001</v>
      </c>
      <c r="L18" s="5">
        <f>IF(ISNUMBER(VLOOKUP("2.1.1",A4:Z106,12,FALSE)),ROUND(VLOOKUP("2.1.1",A4:Z106,12,FALSE),4),0) + IF(ISNUMBER(VLOOKUP("2.1.2",A4:Z106,12,FALSE)),ROUND(VLOOKUP("2.1.2",A4:Z106,12,FALSE),4),0) + IF(ISNUMBER(VLOOKUP("2.1.3",A4:Z106,12,FALSE)),ROUND(VLOOKUP("2.1.3",A4:Z106,12,FALSE),4),0) + IF(ISNUMBER(VLOOKUP("2.1.x",A4:Z106,12,FALSE)),ROUND(VLOOKUP("2.1.x",A4:Z106,12,FALSE),4),0)</f>
        <v>118720157</v>
      </c>
      <c r="M18" s="5">
        <f>IF(ISNUMBER(VLOOKUP("2.1.1",A4:Z106,13,FALSE)),ROUND(VLOOKUP("2.1.1",A4:Z106,13,FALSE),4),0) + IF(ISNUMBER(VLOOKUP("2.1.2",A4:Z106,13,FALSE)),ROUND(VLOOKUP("2.1.2",A4:Z106,13,FALSE),4),0) + IF(ISNUMBER(VLOOKUP("2.1.3",A4:Z106,13,FALSE)),ROUND(VLOOKUP("2.1.3",A4:Z106,13,FALSE),4),0) + IF(ISNUMBER(VLOOKUP("2.1.x",A4:Z106,13,FALSE)),ROUND(VLOOKUP("2.1.x",A4:Z106,13,FALSE),4),0)</f>
        <v>122111399</v>
      </c>
      <c r="N18" s="5">
        <f>IF(ISNUMBER(VLOOKUP("2.1.1",A4:Z106,14,FALSE)),ROUND(VLOOKUP("2.1.1",A4:Z106,14,FALSE),4),0) + IF(ISNUMBER(VLOOKUP("2.1.2",A4:Z106,14,FALSE)),ROUND(VLOOKUP("2.1.2",A4:Z106,14,FALSE),4),0) + IF(ISNUMBER(VLOOKUP("2.1.3",A4:Z106,14,FALSE)),ROUND(VLOOKUP("2.1.3",A4:Z106,14,FALSE),4),0) + IF(ISNUMBER(VLOOKUP("2.1.x",A4:Z106,14,FALSE)),ROUND(VLOOKUP("2.1.x",A4:Z106,14,FALSE),4),0)</f>
        <v>125426361</v>
      </c>
      <c r="O18" s="5">
        <f>IF(ISNUMBER(VLOOKUP("2.1.1",A4:Z106,15,FALSE)),ROUND(VLOOKUP("2.1.1",A4:Z106,15,FALSE),4),0) + IF(ISNUMBER(VLOOKUP("2.1.2",A4:Z106,15,FALSE)),ROUND(VLOOKUP("2.1.2",A4:Z106,15,FALSE),4),0) + IF(ISNUMBER(VLOOKUP("2.1.3",A4:Z106,15,FALSE)),ROUND(VLOOKUP("2.1.3",A4:Z106,15,FALSE),4),0) + IF(ISNUMBER(VLOOKUP("2.1.x",A4:Z106,15,FALSE)),ROUND(VLOOKUP("2.1.x",A4:Z106,15,FALSE),4),0)</f>
        <v>128062054</v>
      </c>
      <c r="P18" s="5">
        <f>IF(ISNUMBER(VLOOKUP("2.1.1",A4:Z106,16,FALSE)),ROUND(VLOOKUP("2.1.1",A4:Z106,16,FALSE),4),0) + IF(ISNUMBER(VLOOKUP("2.1.2",A4:Z106,16,FALSE)),ROUND(VLOOKUP("2.1.2",A4:Z106,16,FALSE),4),0) + IF(ISNUMBER(VLOOKUP("2.1.3",A4:Z106,16,FALSE)),ROUND(VLOOKUP("2.1.3",A4:Z106,16,FALSE),4),0) + IF(ISNUMBER(VLOOKUP("2.1.x",A4:Z106,16,FALSE)),ROUND(VLOOKUP("2.1.x",A4:Z106,16,FALSE),4),0)</f>
        <v>130752010</v>
      </c>
      <c r="Q18" s="5">
        <f>IF(ISNUMBER(VLOOKUP("2.1.1",A4:Z106,17,FALSE)),ROUND(VLOOKUP("2.1.1",A4:Z106,17,FALSE),4),0) + IF(ISNUMBER(VLOOKUP("2.1.2",A4:Z106,17,FALSE)),ROUND(VLOOKUP("2.1.2",A4:Z106,17,FALSE),4),0) + IF(ISNUMBER(VLOOKUP("2.1.3",A4:Z106,17,FALSE)),ROUND(VLOOKUP("2.1.3",A4:Z106,17,FALSE),4),0) + IF(ISNUMBER(VLOOKUP("2.1.x",A4:Z106,17,FALSE)),ROUND(VLOOKUP("2.1.x",A4:Z106,17,FALSE),4),0)</f>
        <v>133623311</v>
      </c>
      <c r="R18" s="5">
        <f>IF(ISNUMBER(VLOOKUP("2.1.1",A4:Z106,18,FALSE)),ROUND(VLOOKUP("2.1.1",A4:Z106,18,FALSE),4),0) + IF(ISNUMBER(VLOOKUP("2.1.2",A4:Z106,18,FALSE)),ROUND(VLOOKUP("2.1.2",A4:Z106,18,FALSE),4),0) + IF(ISNUMBER(VLOOKUP("2.1.3",A4:Z106,18,FALSE)),ROUND(VLOOKUP("2.1.3",A4:Z106,18,FALSE),4),0) + IF(ISNUMBER(VLOOKUP("2.1.x",A4:Z106,18,FALSE)),ROUND(VLOOKUP("2.1.x",A4:Z106,18,FALSE),4),0)</f>
        <v>136709121</v>
      </c>
      <c r="S18" s="5">
        <f>IF(ISNUMBER(VLOOKUP("2.1.1",A4:Z106,19,FALSE)),ROUND(VLOOKUP("2.1.1",A4:Z106,19,FALSE),4),0) + IF(ISNUMBER(VLOOKUP("2.1.2",A4:Z106,19,FALSE)),ROUND(VLOOKUP("2.1.2",A4:Z106,19,FALSE),4),0) + IF(ISNUMBER(VLOOKUP("2.1.3",A4:Z106,19,FALSE)),ROUND(VLOOKUP("2.1.3",A4:Z106,19,FALSE),4),0) + IF(ISNUMBER(VLOOKUP("2.1.x",A4:Z106,19,FALSE)),ROUND(VLOOKUP("2.1.x",A4:Z106,19,FALSE),4),0)</f>
        <v>139864984</v>
      </c>
      <c r="T18" s="5">
        <f>IF(ISNUMBER(VLOOKUP("2.1.1",A4:Z106,20,FALSE)),ROUND(VLOOKUP("2.1.1",A4:Z106,20,FALSE),4),0) + IF(ISNUMBER(VLOOKUP("2.1.2",A4:Z106,20,FALSE)),ROUND(VLOOKUP("2.1.2",A4:Z106,20,FALSE),4),0) + IF(ISNUMBER(VLOOKUP("2.1.3",A4:Z106,20,FALSE)),ROUND(VLOOKUP("2.1.3",A4:Z106,20,FALSE),4),0) + IF(ISNUMBER(VLOOKUP("2.1.x",A4:Z106,20,FALSE)),ROUND(VLOOKUP("2.1.x",A4:Z106,20,FALSE),4),0)</f>
        <v>143073468</v>
      </c>
      <c r="U18" s="5">
        <f>IF(ISNUMBER(VLOOKUP("2.1.1",A4:Z106,21,FALSE)),ROUND(VLOOKUP("2.1.1",A4:Z106,21,FALSE),4),0) + IF(ISNUMBER(VLOOKUP("2.1.2",A4:Z106,21,FALSE)),ROUND(VLOOKUP("2.1.2",A4:Z106,21,FALSE),4),0) + IF(ISNUMBER(VLOOKUP("2.1.3",A4:Z106,21,FALSE)),ROUND(VLOOKUP("2.1.3",A4:Z106,21,FALSE),4),0) + IF(ISNUMBER(VLOOKUP("2.1.x",A4:Z106,21,FALSE)),ROUND(VLOOKUP("2.1.x",A4:Z106,21,FALSE),4),0)</f>
        <v>146335005</v>
      </c>
      <c r="V18" s="5">
        <f>IF(ISNUMBER(VLOOKUP("2.1.1",A4:Z106,22,FALSE)),ROUND(VLOOKUP("2.1.1",A4:Z106,22,FALSE),4),0) + IF(ISNUMBER(VLOOKUP("2.1.2",A4:Z106,22,FALSE)),ROUND(VLOOKUP("2.1.2",A4:Z106,22,FALSE),4),0) + IF(ISNUMBER(VLOOKUP("2.1.3",A4:Z106,22,FALSE)),ROUND(VLOOKUP("2.1.3",A4:Z106,22,FALSE),4),0) + IF(ISNUMBER(VLOOKUP("2.1.x",A4:Z106,22,FALSE)),ROUND(VLOOKUP("2.1.x",A4:Z106,22,FALSE),4),0)</f>
        <v>149612351</v>
      </c>
      <c r="W18" s="5">
        <f>IF(ISNUMBER(VLOOKUP("2.1.1",A4:Z106,23,FALSE)),ROUND(VLOOKUP("2.1.1",A4:Z106,23,FALSE),4),0) + IF(ISNUMBER(VLOOKUP("2.1.2",A4:Z106,23,FALSE)),ROUND(VLOOKUP("2.1.2",A4:Z106,23,FALSE),4),0) + IF(ISNUMBER(VLOOKUP("2.1.3",A4:Z106,23,FALSE)),ROUND(VLOOKUP("2.1.3",A4:Z106,23,FALSE),4),0) + IF(ISNUMBER(VLOOKUP("2.1.x",A4:Z106,23,FALSE)),ROUND(VLOOKUP("2.1.x",A4:Z106,23,FALSE),4),0)</f>
        <v>152951120</v>
      </c>
      <c r="X18" s="5">
        <f>IF(ISNUMBER(VLOOKUP("2.1.1",A4:Z106,24,FALSE)),ROUND(VLOOKUP("2.1.1",A4:Z106,24,FALSE),4),0) + IF(ISNUMBER(VLOOKUP("2.1.2",A4:Z106,24,FALSE)),ROUND(VLOOKUP("2.1.2",A4:Z106,24,FALSE),4),0) + IF(ISNUMBER(VLOOKUP("2.1.3",A4:Z106,24,FALSE)),ROUND(VLOOKUP("2.1.3",A4:Z106,24,FALSE),4),0) + IF(ISNUMBER(VLOOKUP("2.1.x",A4:Z106,24,FALSE)),ROUND(VLOOKUP("2.1.x",A4:Z106,24,FALSE),4),0)</f>
        <v>156240048</v>
      </c>
      <c r="Y18" s="5">
        <f>IF(ISNUMBER(VLOOKUP("2.1.1",A4:Z106,25,FALSE)),ROUND(VLOOKUP("2.1.1",A4:Z106,25,FALSE),4),0) + IF(ISNUMBER(VLOOKUP("2.1.2",A4:Z106,25,FALSE)),ROUND(VLOOKUP("2.1.2",A4:Z106,25,FALSE),4),0) + IF(ISNUMBER(VLOOKUP("2.1.3",A4:Z106,25,FALSE)),ROUND(VLOOKUP("2.1.3",A4:Z106,25,FALSE),4),0) + IF(ISNUMBER(VLOOKUP("2.1.x",A4:Z106,25,FALSE)),ROUND(VLOOKUP("2.1.x",A4:Z106,25,FALSE),4),0)</f>
        <v>159513717</v>
      </c>
      <c r="Z18" s="5">
        <f>IF(ISNUMBER(VLOOKUP("2.1.1",A4:Z106,26,FALSE)),ROUND(VLOOKUP("2.1.1",A4:Z106,26,FALSE),4),0) + IF(ISNUMBER(VLOOKUP("2.1.2",A4:Z106,26,FALSE)),ROUND(VLOOKUP("2.1.2",A4:Z106,26,FALSE),4),0) + IF(ISNUMBER(VLOOKUP("2.1.3",A4:Z106,26,FALSE)),ROUND(VLOOKUP("2.1.3",A4:Z106,26,FALSE),4),0) + IF(ISNUMBER(VLOOKUP("2.1.x",A4:Z106,26,FALSE)),ROUND(VLOOKUP("2.1.x",A4:Z106,26,FALSE),4),0)</f>
        <v>162479946</v>
      </c>
    </row>
    <row r="19" spans="1:26" ht="14.25" customHeight="1" x14ac:dyDescent="0.3">
      <c r="A19" s="6" t="s">
        <v>55</v>
      </c>
      <c r="B19" s="7" t="s">
        <v>56</v>
      </c>
      <c r="C19" s="8">
        <v>0</v>
      </c>
      <c r="D19" s="8">
        <v>25386822.75</v>
      </c>
      <c r="E19" s="8">
        <v>26592070.16</v>
      </c>
      <c r="F19" s="8">
        <v>28225810.289999999</v>
      </c>
      <c r="G19" s="8">
        <v>33155345.5</v>
      </c>
      <c r="H19" s="8">
        <v>37095654.740000002</v>
      </c>
      <c r="I19" s="8">
        <v>50951360.259999998</v>
      </c>
      <c r="J19" s="8">
        <v>45964088.130000003</v>
      </c>
      <c r="K19" s="9">
        <v>56302749.93</v>
      </c>
      <c r="L19" s="9">
        <v>58962729</v>
      </c>
      <c r="M19" s="9">
        <v>61512867</v>
      </c>
      <c r="N19" s="9">
        <v>63958003</v>
      </c>
      <c r="O19" s="9">
        <v>65668880</v>
      </c>
      <c r="P19" s="9">
        <v>67376271</v>
      </c>
      <c r="Q19" s="9">
        <v>69077522</v>
      </c>
      <c r="R19" s="9">
        <v>70735383</v>
      </c>
      <c r="S19" s="9">
        <v>72415348</v>
      </c>
      <c r="T19" s="9">
        <v>74099005</v>
      </c>
      <c r="U19" s="9">
        <v>75803282</v>
      </c>
      <c r="V19" s="9">
        <v>77489905</v>
      </c>
      <c r="W19" s="9">
        <v>79194683</v>
      </c>
      <c r="X19" s="9">
        <v>80857771</v>
      </c>
      <c r="Y19" s="9">
        <v>82495141</v>
      </c>
      <c r="Z19" s="9">
        <v>84103796</v>
      </c>
    </row>
    <row r="20" spans="1:26" ht="14.25" customHeight="1" x14ac:dyDescent="0.3">
      <c r="A20" s="6" t="s">
        <v>57</v>
      </c>
      <c r="B20" s="7" t="s">
        <v>58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</row>
    <row r="21" spans="1:26" ht="27" customHeight="1" x14ac:dyDescent="0.3">
      <c r="A21" s="6" t="s">
        <v>59</v>
      </c>
      <c r="B21" s="7" t="s">
        <v>60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</row>
    <row r="22" spans="1:26" ht="14.25" customHeight="1" x14ac:dyDescent="0.3">
      <c r="A22" s="6" t="s">
        <v>61</v>
      </c>
      <c r="B22" s="7" t="s">
        <v>62</v>
      </c>
      <c r="C22" s="10">
        <v>1021684.34</v>
      </c>
      <c r="D22" s="10">
        <v>1229589.05</v>
      </c>
      <c r="E22" s="10">
        <v>991153.04</v>
      </c>
      <c r="F22" s="10">
        <v>724214</v>
      </c>
      <c r="G22" s="10">
        <v>2778113</v>
      </c>
      <c r="H22" s="10">
        <v>4555319</v>
      </c>
      <c r="I22" s="10">
        <v>4102460</v>
      </c>
      <c r="J22" s="10">
        <v>5029811</v>
      </c>
      <c r="K22" s="11">
        <v>5000000</v>
      </c>
      <c r="L22" s="11">
        <v>4377912</v>
      </c>
      <c r="M22" s="11">
        <v>3779149</v>
      </c>
      <c r="N22" s="11">
        <v>3228490</v>
      </c>
      <c r="O22" s="11">
        <v>2697309</v>
      </c>
      <c r="P22" s="11">
        <v>2187477</v>
      </c>
      <c r="Q22" s="11">
        <v>1827820</v>
      </c>
      <c r="R22" s="11">
        <v>1687820</v>
      </c>
      <c r="S22" s="11">
        <v>1556570</v>
      </c>
      <c r="T22" s="11">
        <v>1434070</v>
      </c>
      <c r="U22" s="11">
        <v>1302820</v>
      </c>
      <c r="V22" s="11">
        <v>1162820</v>
      </c>
      <c r="W22" s="11">
        <v>1022820</v>
      </c>
      <c r="X22" s="11">
        <v>830320</v>
      </c>
      <c r="Y22" s="11">
        <v>602820</v>
      </c>
      <c r="Z22" s="11">
        <v>50000</v>
      </c>
    </row>
    <row r="23" spans="1:26" hidden="1" x14ac:dyDescent="0.3">
      <c r="A23" s="6" t="s">
        <v>63</v>
      </c>
      <c r="B23" s="7" t="s">
        <v>64</v>
      </c>
      <c r="C23" s="10">
        <v>1021684.34</v>
      </c>
      <c r="D23" s="10">
        <v>1229589.05</v>
      </c>
      <c r="E23" s="10">
        <v>991153.04</v>
      </c>
      <c r="F23" s="10">
        <v>724214</v>
      </c>
      <c r="G23" s="10">
        <v>2778113</v>
      </c>
      <c r="H23" s="10">
        <v>4555319</v>
      </c>
      <c r="I23" s="10">
        <v>4102460</v>
      </c>
      <c r="J23" s="10">
        <v>4977666</v>
      </c>
      <c r="K23" s="11">
        <v>5000000</v>
      </c>
      <c r="L23" s="11">
        <v>4377912</v>
      </c>
      <c r="M23" s="11">
        <v>3779149</v>
      </c>
      <c r="N23" s="11">
        <v>3228490</v>
      </c>
      <c r="O23" s="11">
        <v>2697309</v>
      </c>
      <c r="P23" s="11">
        <v>2187477</v>
      </c>
      <c r="Q23" s="11">
        <v>1827820</v>
      </c>
      <c r="R23" s="11">
        <v>1687820</v>
      </c>
      <c r="S23" s="11">
        <v>1556570</v>
      </c>
      <c r="T23" s="11">
        <v>1434070</v>
      </c>
      <c r="U23" s="11">
        <v>1302820</v>
      </c>
      <c r="V23" s="11">
        <v>1162820</v>
      </c>
      <c r="W23" s="11">
        <v>1022820</v>
      </c>
      <c r="X23" s="11">
        <v>830320</v>
      </c>
      <c r="Y23" s="11">
        <v>602820</v>
      </c>
      <c r="Z23" s="11">
        <v>50000</v>
      </c>
    </row>
    <row r="24" spans="1:26" ht="65.7" customHeight="1" x14ac:dyDescent="0.3">
      <c r="A24" s="6" t="s">
        <v>65</v>
      </c>
      <c r="B24" s="7" t="s">
        <v>66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</row>
    <row r="25" spans="1:26" ht="39.9" customHeight="1" x14ac:dyDescent="0.3">
      <c r="A25" s="6" t="s">
        <v>67</v>
      </c>
      <c r="B25" s="7" t="s">
        <v>68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</row>
    <row r="26" spans="1:26" ht="27" customHeight="1" x14ac:dyDescent="0.3">
      <c r="A26" s="6" t="s">
        <v>69</v>
      </c>
      <c r="B26" s="7" t="s">
        <v>70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</row>
    <row r="27" spans="1:26" hidden="1" x14ac:dyDescent="0.3">
      <c r="A27" s="6" t="s">
        <v>71</v>
      </c>
      <c r="B27" s="7" t="s">
        <v>43</v>
      </c>
      <c r="C27" s="8">
        <v>62671442.079999998</v>
      </c>
      <c r="D27" s="8">
        <v>46373646.359999999</v>
      </c>
      <c r="E27" s="8">
        <v>53061755.539999999</v>
      </c>
      <c r="F27" s="8">
        <v>61275246.380000003</v>
      </c>
      <c r="G27" s="8">
        <v>69086284.349999994</v>
      </c>
      <c r="H27" s="8">
        <v>57660003.579999998</v>
      </c>
      <c r="I27" s="8">
        <v>61990183.600000001</v>
      </c>
      <c r="J27" s="8">
        <v>68191599.459999993</v>
      </c>
      <c r="K27" s="9">
        <v>56221542.340000004</v>
      </c>
      <c r="L27" s="9">
        <v>55379516</v>
      </c>
      <c r="M27" s="9">
        <v>56819383</v>
      </c>
      <c r="N27" s="9">
        <v>58239868</v>
      </c>
      <c r="O27" s="9">
        <v>59695865</v>
      </c>
      <c r="P27" s="9">
        <v>61188262</v>
      </c>
      <c r="Q27" s="9">
        <v>62717969</v>
      </c>
      <c r="R27" s="9">
        <v>64285918</v>
      </c>
      <c r="S27" s="9">
        <v>65893066</v>
      </c>
      <c r="T27" s="9">
        <v>67540393</v>
      </c>
      <c r="U27" s="9">
        <v>69228903</v>
      </c>
      <c r="V27" s="9">
        <v>70959626</v>
      </c>
      <c r="W27" s="9">
        <v>72733617</v>
      </c>
      <c r="X27" s="9">
        <v>74551957</v>
      </c>
      <c r="Y27" s="9">
        <v>76415756</v>
      </c>
      <c r="Z27" s="9">
        <v>78326150</v>
      </c>
    </row>
    <row r="28" spans="1:26" ht="14.25" customHeight="1" x14ac:dyDescent="0.3">
      <c r="A28" s="2" t="s">
        <v>72</v>
      </c>
      <c r="B28" s="3" t="s">
        <v>73</v>
      </c>
      <c r="C28" s="4">
        <f>IF(ISNUMBER(VLOOKUP("2.2.1",A4:Z106,3,FALSE)),ROUND(VLOOKUP("2.2.1",A4:Z106,3,FALSE),4),0) + IF(ISNUMBER(VLOOKUP("2.2.x",A4:Z106,3,FALSE)),ROUND(VLOOKUP("2.2.x",A4:Z106,3,FALSE),4),0)</f>
        <v>31880774.41</v>
      </c>
      <c r="D28" s="4">
        <f>IF(ISNUMBER(VLOOKUP("2.2.1",A4:Z106,4,FALSE)),ROUND(VLOOKUP("2.2.1",A4:Z106,4,FALSE),4),0) + IF(ISNUMBER(VLOOKUP("2.2.x",A4:Z106,4,FALSE)),ROUND(VLOOKUP("2.2.x",A4:Z106,4,FALSE),4),0)</f>
        <v>14351407.58</v>
      </c>
      <c r="E28" s="4">
        <f>IF(ISNUMBER(VLOOKUP("2.2.1",A4:Z106,5,FALSE)),ROUND(VLOOKUP("2.2.1",A4:Z106,5,FALSE),4),0) + IF(ISNUMBER(VLOOKUP("2.2.x",A4:Z106,5,FALSE)),ROUND(VLOOKUP("2.2.x",A4:Z106,5,FALSE),4),0)</f>
        <v>11626175.32</v>
      </c>
      <c r="F28" s="4">
        <f>IF(ISNUMBER(VLOOKUP("2.2.1",A4:Z106,6,FALSE)),ROUND(VLOOKUP("2.2.1",A4:Z106,6,FALSE),4),0) + IF(ISNUMBER(VLOOKUP("2.2.x",A4:Z106,6,FALSE)),ROUND(VLOOKUP("2.2.x",A4:Z106,6,FALSE),4),0)</f>
        <v>29206018.59</v>
      </c>
      <c r="G28" s="4">
        <f>IF(ISNUMBER(VLOOKUP("2.2.1",A4:Z106,7,FALSE)),ROUND(VLOOKUP("2.2.1",A4:Z106,7,FALSE),4),0) + IF(ISNUMBER(VLOOKUP("2.2.x",A4:Z106,7,FALSE)),ROUND(VLOOKUP("2.2.x",A4:Z106,7,FALSE),4),0)</f>
        <v>20020280.879999999</v>
      </c>
      <c r="H28" s="4">
        <f>IF(ISNUMBER(VLOOKUP("2.2.1",A4:Z106,8,FALSE)),ROUND(VLOOKUP("2.2.1",A4:Z106,8,FALSE),4),0) + IF(ISNUMBER(VLOOKUP("2.2.x",A4:Z106,8,FALSE)),ROUND(VLOOKUP("2.2.x",A4:Z106,8,FALSE),4),0)</f>
        <v>32725844.09</v>
      </c>
      <c r="I28" s="4">
        <f>IF(ISNUMBER(VLOOKUP("2.2.1",A4:Z106,9,FALSE)),ROUND(VLOOKUP("2.2.1",A4:Z106,9,FALSE),4),0) + IF(ISNUMBER(VLOOKUP("2.2.x",A4:Z106,9,FALSE)),ROUND(VLOOKUP("2.2.x",A4:Z106,9,FALSE),4),0)</f>
        <v>56383007.75</v>
      </c>
      <c r="J28" s="4">
        <f>IF(ISNUMBER(VLOOKUP("2.2.1",A4:Z106,10,FALSE)),ROUND(VLOOKUP("2.2.1",A4:Z106,10,FALSE),4),0) + IF(ISNUMBER(VLOOKUP("2.2.x",A4:Z106,10,FALSE)),ROUND(VLOOKUP("2.2.x",A4:Z106,10,FALSE),4),0)</f>
        <v>33336711.890000001</v>
      </c>
      <c r="K28" s="5">
        <f>IF(ISNUMBER(VLOOKUP("2.2.1",A4:Z106,11,FALSE)),ROUND(VLOOKUP("2.2.1",A4:Z106,11,FALSE),4),0) + IF(ISNUMBER(VLOOKUP("2.2.x",A4:Z106,11,FALSE)),ROUND(VLOOKUP("2.2.x",A4:Z106,11,FALSE),4),0)</f>
        <v>59620532.390000001</v>
      </c>
      <c r="L28" s="5">
        <f>IF(ISNUMBER(VLOOKUP("2.2.1",A4:Z106,12,FALSE)),ROUND(VLOOKUP("2.2.1",A4:Z106,12,FALSE),4),0) + IF(ISNUMBER(VLOOKUP("2.2.x",A4:Z106,12,FALSE)),ROUND(VLOOKUP("2.2.x",A4:Z106,12,FALSE),4),0)</f>
        <v>54094541.030000001</v>
      </c>
      <c r="M28" s="5">
        <f>IF(ISNUMBER(VLOOKUP("2.2.1",A4:Z106,13,FALSE)),ROUND(VLOOKUP("2.2.1",A4:Z106,13,FALSE),4),0) + IF(ISNUMBER(VLOOKUP("2.2.x",A4:Z106,13,FALSE)),ROUND(VLOOKUP("2.2.x",A4:Z106,13,FALSE),4),0)</f>
        <v>54534448.57</v>
      </c>
      <c r="N28" s="5">
        <f>IF(ISNUMBER(VLOOKUP("2.2.1",A4:Z106,14,FALSE)),ROUND(VLOOKUP("2.2.1",A4:Z106,14,FALSE),4),0) + IF(ISNUMBER(VLOOKUP("2.2.x",A4:Z106,14,FALSE)),ROUND(VLOOKUP("2.2.x",A4:Z106,14,FALSE),4),0)</f>
        <v>7552739</v>
      </c>
      <c r="O28" s="5">
        <f>IF(ISNUMBER(VLOOKUP("2.2.1",A4:Z106,15,FALSE)),ROUND(VLOOKUP("2.2.1",A4:Z106,15,FALSE),4),0) + IF(ISNUMBER(VLOOKUP("2.2.x",A4:Z106,15,FALSE)),ROUND(VLOOKUP("2.2.x",A4:Z106,15,FALSE),4),0)</f>
        <v>9200265</v>
      </c>
      <c r="P28" s="5">
        <f>IF(ISNUMBER(VLOOKUP("2.2.1",A4:Z106,16,FALSE)),ROUND(VLOOKUP("2.2.1",A4:Z106,16,FALSE),4),0) + IF(ISNUMBER(VLOOKUP("2.2.x",A4:Z106,16,FALSE)),ROUND(VLOOKUP("2.2.x",A4:Z106,16,FALSE),4),0)</f>
        <v>10124005</v>
      </c>
      <c r="Q28" s="5">
        <f>IF(ISNUMBER(VLOOKUP("2.2.1",A4:Z106,17,FALSE)),ROUND(VLOOKUP("2.2.1",A4:Z106,17,FALSE),4),0) + IF(ISNUMBER(VLOOKUP("2.2.x",A4:Z106,17,FALSE)),ROUND(VLOOKUP("2.2.x",A4:Z106,17,FALSE),4),0)</f>
        <v>10303543</v>
      </c>
      <c r="R28" s="5">
        <f>IF(ISNUMBER(VLOOKUP("2.2.1",A4:Z106,18,FALSE)),ROUND(VLOOKUP("2.2.1",A4:Z106,18,FALSE),4),0) + IF(ISNUMBER(VLOOKUP("2.2.x",A4:Z106,18,FALSE)),ROUND(VLOOKUP("2.2.x",A4:Z106,18,FALSE),4),0)</f>
        <v>10700905</v>
      </c>
      <c r="S28" s="5">
        <f>IF(ISNUMBER(VLOOKUP("2.2.1",A4:Z106,19,FALSE)),ROUND(VLOOKUP("2.2.1",A4:Z106,19,FALSE),4),0) + IF(ISNUMBER(VLOOKUP("2.2.x",A4:Z106,19,FALSE)),ROUND(VLOOKUP("2.2.x",A4:Z106,19,FALSE),4),0)</f>
        <v>11620292</v>
      </c>
      <c r="T28" s="5">
        <f>IF(ISNUMBER(VLOOKUP("2.2.1",A4:Z106,20,FALSE)),ROUND(VLOOKUP("2.2.1",A4:Z106,20,FALSE),4),0) + IF(ISNUMBER(VLOOKUP("2.2.x",A4:Z106,20,FALSE)),ROUND(VLOOKUP("2.2.x",A4:Z106,20,FALSE),4),0)</f>
        <v>12581440</v>
      </c>
      <c r="U28" s="5">
        <f>IF(ISNUMBER(VLOOKUP("2.2.1",A4:Z106,21,FALSE)),ROUND(VLOOKUP("2.2.1",A4:Z106,21,FALSE),4),0) + IF(ISNUMBER(VLOOKUP("2.2.x",A4:Z106,21,FALSE)),ROUND(VLOOKUP("2.2.x",A4:Z106,21,FALSE),4),0)</f>
        <v>8786275</v>
      </c>
      <c r="V28" s="5">
        <f>IF(ISNUMBER(VLOOKUP("2.2.1",A4:Z106,22,FALSE)),ROUND(VLOOKUP("2.2.1",A4:Z106,22,FALSE),4),0) + IF(ISNUMBER(VLOOKUP("2.2.x",A4:Z106,22,FALSE)),ROUND(VLOOKUP("2.2.x",A4:Z106,22,FALSE),4),0)</f>
        <v>10674461</v>
      </c>
      <c r="W28" s="5">
        <f>IF(ISNUMBER(VLOOKUP("2.2.1",A4:Z106,23,FALSE)),ROUND(VLOOKUP("2.2.1",A4:Z106,23,FALSE),4),0) + IF(ISNUMBER(VLOOKUP("2.2.x",A4:Z106,23,FALSE)),ROUND(VLOOKUP("2.2.x",A4:Z106,23,FALSE),4),0)</f>
        <v>14502862</v>
      </c>
      <c r="X28" s="5">
        <f>IF(ISNUMBER(VLOOKUP("2.2.1",A4:Z106,24,FALSE)),ROUND(VLOOKUP("2.2.1",A4:Z106,24,FALSE),4),0) + IF(ISNUMBER(VLOOKUP("2.2.x",A4:Z106,24,FALSE)),ROUND(VLOOKUP("2.2.x",A4:Z106,24,FALSE),4),0)</f>
        <v>12485282</v>
      </c>
      <c r="Y28" s="5">
        <f>IF(ISNUMBER(VLOOKUP("2.2.1",A4:Z106,25,FALSE)),ROUND(VLOOKUP("2.2.1",A4:Z106,25,FALSE),4),0) + IF(ISNUMBER(VLOOKUP("2.2.x",A4:Z106,25,FALSE)),ROUND(VLOOKUP("2.2.x",A4:Z106,25,FALSE),4),0)</f>
        <v>14589747</v>
      </c>
      <c r="Z28" s="5">
        <f>IF(ISNUMBER(VLOOKUP("2.2.1",A4:Z106,26,FALSE)),ROUND(VLOOKUP("2.2.1",A4:Z106,26,FALSE),4),0) + IF(ISNUMBER(VLOOKUP("2.2.x",A4:Z106,26,FALSE)),ROUND(VLOOKUP("2.2.x",A4:Z106,26,FALSE),4),0)</f>
        <v>17978277.390000001</v>
      </c>
    </row>
    <row r="29" spans="1:26" ht="27" customHeight="1" x14ac:dyDescent="0.3">
      <c r="A29" s="6" t="s">
        <v>74</v>
      </c>
      <c r="B29" s="7" t="s">
        <v>75</v>
      </c>
      <c r="C29" s="8">
        <v>0</v>
      </c>
      <c r="D29" s="8">
        <v>13651407.58</v>
      </c>
      <c r="E29" s="8">
        <v>9922175.3200000003</v>
      </c>
      <c r="F29" s="8">
        <v>28256018.59</v>
      </c>
      <c r="G29" s="8">
        <v>19620280.879999999</v>
      </c>
      <c r="H29" s="8">
        <v>31204844.09</v>
      </c>
      <c r="I29" s="8">
        <v>55870007.75</v>
      </c>
      <c r="J29" s="8">
        <v>32523711.890000001</v>
      </c>
      <c r="K29" s="9">
        <v>59620532.390000001</v>
      </c>
      <c r="L29" s="9">
        <v>54094541.030000001</v>
      </c>
      <c r="M29" s="9">
        <v>54534448.57</v>
      </c>
      <c r="N29" s="9">
        <v>7552739</v>
      </c>
      <c r="O29" s="9">
        <v>9200265</v>
      </c>
      <c r="P29" s="9">
        <v>10124005</v>
      </c>
      <c r="Q29" s="9">
        <v>10303543</v>
      </c>
      <c r="R29" s="9">
        <v>10700905</v>
      </c>
      <c r="S29" s="9">
        <v>11620292</v>
      </c>
      <c r="T29" s="9">
        <v>12581440</v>
      </c>
      <c r="U29" s="9">
        <v>8786275</v>
      </c>
      <c r="V29" s="9">
        <v>10674461</v>
      </c>
      <c r="W29" s="9">
        <v>14502862</v>
      </c>
      <c r="X29" s="9">
        <v>12485282</v>
      </c>
      <c r="Y29" s="9">
        <v>14589747</v>
      </c>
      <c r="Z29" s="9">
        <v>17978277.390000001</v>
      </c>
    </row>
    <row r="30" spans="1:26" ht="27" customHeight="1" x14ac:dyDescent="0.3">
      <c r="A30" s="6" t="s">
        <v>76</v>
      </c>
      <c r="B30" s="7" t="s">
        <v>77</v>
      </c>
      <c r="C30" s="8">
        <v>0</v>
      </c>
      <c r="D30" s="8">
        <v>1299256.49</v>
      </c>
      <c r="E30" s="8">
        <v>2112267.17</v>
      </c>
      <c r="F30" s="8">
        <v>1659742.15</v>
      </c>
      <c r="G30" s="8">
        <v>2016470.43</v>
      </c>
      <c r="H30" s="8">
        <v>858026.58</v>
      </c>
      <c r="I30" s="8">
        <v>3566274.72</v>
      </c>
      <c r="J30" s="8">
        <v>1201759.94</v>
      </c>
      <c r="K30" s="9">
        <v>1791651.14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</row>
    <row r="31" spans="1:26" hidden="1" x14ac:dyDescent="0.3">
      <c r="A31" s="6" t="s">
        <v>78</v>
      </c>
      <c r="B31" s="7" t="s">
        <v>43</v>
      </c>
      <c r="C31" s="8">
        <v>31880774.41</v>
      </c>
      <c r="D31" s="8">
        <v>700000</v>
      </c>
      <c r="E31" s="8">
        <v>1704000</v>
      </c>
      <c r="F31" s="8">
        <v>950000</v>
      </c>
      <c r="G31" s="8">
        <v>400000</v>
      </c>
      <c r="H31" s="8">
        <v>1521000</v>
      </c>
      <c r="I31" s="8">
        <v>513000</v>
      </c>
      <c r="J31" s="8">
        <v>813000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</row>
    <row r="32" spans="1:26" ht="14.25" customHeight="1" x14ac:dyDescent="0.3">
      <c r="A32" s="2" t="s">
        <v>79</v>
      </c>
      <c r="B32" s="3" t="s">
        <v>80</v>
      </c>
      <c r="C32" s="4">
        <f>IF(ISNUMBER(VLOOKUP("1",A4:Z106,3,FALSE)),ROUND(VLOOKUP("1",A4:Z106,3,FALSE),4),0) - IF(ISNUMBER(VLOOKUP("2",A4:Z106,3,FALSE)),ROUND(VLOOKUP("2",A4:Z106,3,FALSE),4),0)</f>
        <v>-11536257.609999999</v>
      </c>
      <c r="D32" s="4">
        <f>IF(ISNUMBER(VLOOKUP("1",A4:Z106,4,FALSE)),ROUND(VLOOKUP("1",A4:Z106,4,FALSE),4),0) - IF(ISNUMBER(VLOOKUP("2",A4:Z106,4,FALSE)),ROUND(VLOOKUP("2",A4:Z106,4,FALSE),4),0)</f>
        <v>-1757250.1499999911</v>
      </c>
      <c r="E32" s="4">
        <f>IF(ISNUMBER(VLOOKUP("1",A4:Z106,5,FALSE)),ROUND(VLOOKUP("1",A4:Z106,5,FALSE),4),0) - IF(ISNUMBER(VLOOKUP("2",A4:Z106,5,FALSE)),ROUND(VLOOKUP("2",A4:Z106,5,FALSE),4),0)</f>
        <v>8294544.2099999934</v>
      </c>
      <c r="F32" s="4">
        <f>IF(ISNUMBER(VLOOKUP("1",A4:Z106,6,FALSE)),ROUND(VLOOKUP("1",A4:Z106,6,FALSE),4),0) - IF(ISNUMBER(VLOOKUP("2",A4:Z106,6,FALSE)),ROUND(VLOOKUP("2",A4:Z106,6,FALSE),4),0)</f>
        <v>3314102.8900000006</v>
      </c>
      <c r="G32" s="4">
        <f>IF(ISNUMBER(VLOOKUP("1",A4:Z106,7,FALSE)),ROUND(VLOOKUP("1",A4:Z106,7,FALSE),4),0) - IF(ISNUMBER(VLOOKUP("2",A4:Z106,7,FALSE)),ROUND(VLOOKUP("2",A4:Z106,7,FALSE),4),0)</f>
        <v>-9299207.799999997</v>
      </c>
      <c r="H32" s="4">
        <f>IF(ISNUMBER(VLOOKUP("1",A4:Z106,8,FALSE)),ROUND(VLOOKUP("1",A4:Z106,8,FALSE),4),0) - IF(ISNUMBER(VLOOKUP("2",A4:Z106,8,FALSE)),ROUND(VLOOKUP("2",A4:Z106,8,FALSE),4),0)</f>
        <v>-13270416.159999996</v>
      </c>
      <c r="I32" s="4">
        <f>IF(ISNUMBER(VLOOKUP("1",A4:Z106,9,FALSE)),ROUND(VLOOKUP("1",A4:Z106,9,FALSE),4),0) - IF(ISNUMBER(VLOOKUP("2",A4:Z106,9,FALSE)),ROUND(VLOOKUP("2",A4:Z106,9,FALSE),4),0)</f>
        <v>-12633106.970000029</v>
      </c>
      <c r="J32" s="4">
        <f>IF(ISNUMBER(VLOOKUP("1",A4:Z106,10,FALSE)),ROUND(VLOOKUP("1",A4:Z106,10,FALSE),4),0) - IF(ISNUMBER(VLOOKUP("2",A4:Z106,10,FALSE)),ROUND(VLOOKUP("2",A4:Z106,10,FALSE),4),0)</f>
        <v>-4883920</v>
      </c>
      <c r="K32" s="5">
        <f>IF(ISNUMBER(VLOOKUP("1",A4:Z106,11,FALSE)),ROUND(VLOOKUP("1",A4:Z106,11,FALSE),4),0) - IF(ISNUMBER(VLOOKUP("2",A4:Z106,11,FALSE)),ROUND(VLOOKUP("2",A4:Z106,11,FALSE),4),0)</f>
        <v>-11137743.650000006</v>
      </c>
      <c r="L32" s="5">
        <f>IF(ISNUMBER(VLOOKUP("1",A4:Z106,12,FALSE)),ROUND(VLOOKUP("1",A4:Z106,12,FALSE),4),0) - IF(ISNUMBER(VLOOKUP("2",A4:Z106,12,FALSE)),ROUND(VLOOKUP("2",A4:Z106,12,FALSE),4),0)</f>
        <v>4221100</v>
      </c>
      <c r="M32" s="5">
        <f>IF(ISNUMBER(VLOOKUP("1",A4:Z106,13,FALSE)),ROUND(VLOOKUP("1",A4:Z106,13,FALSE),4),0) - IF(ISNUMBER(VLOOKUP("2",A4:Z106,13,FALSE)),ROUND(VLOOKUP("2",A4:Z106,13,FALSE),4),0)</f>
        <v>4402931.7900000215</v>
      </c>
      <c r="N32" s="5">
        <f>IF(ISNUMBER(VLOOKUP("1",A4:Z106,14,FALSE)),ROUND(VLOOKUP("1",A4:Z106,14,FALSE),4),0) - IF(ISNUMBER(VLOOKUP("2",A4:Z106,14,FALSE)),ROUND(VLOOKUP("2",A4:Z106,14,FALSE),4),0)</f>
        <v>3937285</v>
      </c>
      <c r="O32" s="5">
        <f>IF(ISNUMBER(VLOOKUP("1",A4:Z106,15,FALSE)),ROUND(VLOOKUP("1",A4:Z106,15,FALSE),4),0) - IF(ISNUMBER(VLOOKUP("2",A4:Z106,15,FALSE)),ROUND(VLOOKUP("2",A4:Z106,15,FALSE),4),0)</f>
        <v>5500000</v>
      </c>
      <c r="P32" s="5">
        <f>IF(ISNUMBER(VLOOKUP("1",A4:Z106,16,FALSE)),ROUND(VLOOKUP("1",A4:Z106,16,FALSE),4),0) - IF(ISNUMBER(VLOOKUP("2",A4:Z106,16,FALSE)),ROUND(VLOOKUP("2",A4:Z106,16,FALSE),4),0)</f>
        <v>5500000</v>
      </c>
      <c r="Q32" s="5">
        <f>IF(ISNUMBER(VLOOKUP("1",A4:Z106,17,FALSE)),ROUND(VLOOKUP("1",A4:Z106,17,FALSE),4),0) - IF(ISNUMBER(VLOOKUP("2",A4:Z106,17,FALSE)),ROUND(VLOOKUP("2",A4:Z106,17,FALSE),4),0)</f>
        <v>4000000</v>
      </c>
      <c r="R32" s="5">
        <f>IF(ISNUMBER(VLOOKUP("1",A4:Z106,18,FALSE)),ROUND(VLOOKUP("1",A4:Z106,18,FALSE),4),0) - IF(ISNUMBER(VLOOKUP("2",A4:Z106,18,FALSE)),ROUND(VLOOKUP("2",A4:Z106,18,FALSE),4),0)</f>
        <v>4000000</v>
      </c>
      <c r="S32" s="5">
        <f>IF(ISNUMBER(VLOOKUP("1",A4:Z106,19,FALSE)),ROUND(VLOOKUP("1",A4:Z106,19,FALSE),4),0) - IF(ISNUMBER(VLOOKUP("2",A4:Z106,19,FALSE)),ROUND(VLOOKUP("2",A4:Z106,19,FALSE),4),0)</f>
        <v>3500000</v>
      </c>
      <c r="T32" s="5">
        <f>IF(ISNUMBER(VLOOKUP("1",A4:Z106,20,FALSE)),ROUND(VLOOKUP("1",A4:Z106,20,FALSE),4),0) - IF(ISNUMBER(VLOOKUP("2",A4:Z106,20,FALSE)),ROUND(VLOOKUP("2",A4:Z106,20,FALSE),4),0)</f>
        <v>3500000</v>
      </c>
      <c r="U32" s="5">
        <f>IF(ISNUMBER(VLOOKUP("1",A4:Z106,21,FALSE)),ROUND(VLOOKUP("1",A4:Z106,21,FALSE),4),0) - IF(ISNUMBER(VLOOKUP("2",A4:Z106,21,FALSE)),ROUND(VLOOKUP("2",A4:Z106,21,FALSE),4),0)</f>
        <v>8000000</v>
      </c>
      <c r="V32" s="5">
        <f>IF(ISNUMBER(VLOOKUP("1",A4:Z106,22,FALSE)),ROUND(VLOOKUP("1",A4:Z106,22,FALSE),4),0) - IF(ISNUMBER(VLOOKUP("2",A4:Z106,22,FALSE)),ROUND(VLOOKUP("2",A4:Z106,22,FALSE),4),0)</f>
        <v>7000000</v>
      </c>
      <c r="W32" s="5">
        <f>IF(ISNUMBER(VLOOKUP("1",A4:Z106,23,FALSE)),ROUND(VLOOKUP("1",A4:Z106,23,FALSE),4),0) - IF(ISNUMBER(VLOOKUP("2",A4:Z106,23,FALSE)),ROUND(VLOOKUP("2",A4:Z106,23,FALSE),4),0)</f>
        <v>4000000</v>
      </c>
      <c r="X32" s="5">
        <f>IF(ISNUMBER(VLOOKUP("1",A4:Z106,24,FALSE)),ROUND(VLOOKUP("1",A4:Z106,24,FALSE),4),0) - IF(ISNUMBER(VLOOKUP("2",A4:Z106,24,FALSE)),ROUND(VLOOKUP("2",A4:Z106,24,FALSE),4),0)</f>
        <v>7000000</v>
      </c>
      <c r="Y32" s="5">
        <f>IF(ISNUMBER(VLOOKUP("1",A4:Z106,25,FALSE)),ROUND(VLOOKUP("1",A4:Z106,25,FALSE),4),0) - IF(ISNUMBER(VLOOKUP("2",A4:Z106,25,FALSE)),ROUND(VLOOKUP("2",A4:Z106,25,FALSE),4),0)</f>
        <v>6000000</v>
      </c>
      <c r="Z32" s="5">
        <f>IF(ISNUMBER(VLOOKUP("1",A4:Z106,26,FALSE)),ROUND(VLOOKUP("1",A4:Z106,26,FALSE),4),0) - IF(ISNUMBER(VLOOKUP("2",A4:Z106,26,FALSE)),ROUND(VLOOKUP("2",A4:Z106,26,FALSE),4),0)</f>
        <v>7085309.6100000143</v>
      </c>
    </row>
    <row r="33" spans="1:26" ht="27" customHeight="1" x14ac:dyDescent="0.3">
      <c r="A33" s="6" t="s">
        <v>81</v>
      </c>
      <c r="B33" s="7" t="s">
        <v>82</v>
      </c>
      <c r="C33" s="10">
        <f>IF(IF(ISNUMBER(VLOOKUP("3",A4:Z106,3,FALSE)),ROUND(VLOOKUP("3",A4:Z106,3,FALSE),4),0)&gt;0,IF(IF(ISNUMBER(VLOOKUP("3",A4:Z106,3,FALSE)),ROUND(VLOOKUP("3",A4:Z106,3,FALSE),4),0)&gt;IF(ISNUMBER(VLOOKUP("5.1",A4:Z106,3,FALSE)),ROUND(VLOOKUP("5.1",A4:Z106,3,FALSE),4),0),IF(ISNUMBER(VLOOKUP("5.1",A4:Z106,3,FALSE)),ROUND(VLOOKUP("5.1",A4:Z106,3,FALSE),4),0),IF(ISNUMBER(VLOOKUP("3",A4:Z106,3,FALSE)),ROUND(VLOOKUP("3",A4:Z106,3,FALSE),4),0)),0)</f>
        <v>0</v>
      </c>
      <c r="D33" s="10">
        <f>IF(IF(ISNUMBER(VLOOKUP("3",A4:Z106,4,FALSE)),ROUND(VLOOKUP("3",A4:Z106,4,FALSE),4),0)&gt;0,IF(IF(ISNUMBER(VLOOKUP("3",A4:Z106,4,FALSE)),ROUND(VLOOKUP("3",A4:Z106,4,FALSE),4),0)&gt;IF(ISNUMBER(VLOOKUP("5.1",A4:Z106,4,FALSE)),ROUND(VLOOKUP("5.1",A4:Z106,4,FALSE),4),0),IF(ISNUMBER(VLOOKUP("5.1",A4:Z106,4,FALSE)),ROUND(VLOOKUP("5.1",A4:Z106,4,FALSE),4),0),IF(ISNUMBER(VLOOKUP("3",A4:Z106,4,FALSE)),ROUND(VLOOKUP("3",A4:Z106,4,FALSE),4),0)),0)</f>
        <v>0</v>
      </c>
      <c r="E33" s="10">
        <f>IF(IF(ISNUMBER(VLOOKUP("3",A4:Z106,5,FALSE)),ROUND(VLOOKUP("3",A4:Z106,5,FALSE),4),0)&gt;0,IF(IF(ISNUMBER(VLOOKUP("3",A4:Z106,5,FALSE)),ROUND(VLOOKUP("3",A4:Z106,5,FALSE),4),0)&gt;IF(ISNUMBER(VLOOKUP("5.1",A4:Z106,5,FALSE)),ROUND(VLOOKUP("5.1",A4:Z106,5,FALSE),4),0),IF(ISNUMBER(VLOOKUP("5.1",A4:Z106,5,FALSE)),ROUND(VLOOKUP("5.1",A4:Z106,5,FALSE),4),0),IF(ISNUMBER(VLOOKUP("3",A4:Z106,5,FALSE)),ROUND(VLOOKUP("3",A4:Z106,5,FALSE),4),0)),0)</f>
        <v>3400000</v>
      </c>
      <c r="F33" s="10">
        <f>IF(IF(ISNUMBER(VLOOKUP("3",A4:Z106,6,FALSE)),ROUND(VLOOKUP("3",A4:Z106,6,FALSE),4),0)&gt;0,IF(IF(ISNUMBER(VLOOKUP("3",A4:Z106,6,FALSE)),ROUND(VLOOKUP("3",A4:Z106,6,FALSE),4),0)&gt;IF(ISNUMBER(VLOOKUP("5.1",A4:Z106,6,FALSE)),ROUND(VLOOKUP("5.1",A4:Z106,6,FALSE),4),0),IF(ISNUMBER(VLOOKUP("5.1",A4:Z106,6,FALSE)),ROUND(VLOOKUP("5.1",A4:Z106,6,FALSE),4),0),IF(ISNUMBER(VLOOKUP("3",A4:Z106,6,FALSE)),ROUND(VLOOKUP("3",A4:Z106,6,FALSE),4),0)),0)</f>
        <v>3314102.89</v>
      </c>
      <c r="G33" s="10">
        <f>IF(IF(ISNUMBER(VLOOKUP("3",A4:Z106,7,FALSE)),ROUND(VLOOKUP("3",A4:Z106,7,FALSE),4),0)&gt;0,IF(IF(ISNUMBER(VLOOKUP("3",A4:Z106,7,FALSE)),ROUND(VLOOKUP("3",A4:Z106,7,FALSE),4),0)&gt;IF(ISNUMBER(VLOOKUP("5.1",A4:Z106,7,FALSE)),ROUND(VLOOKUP("5.1",A4:Z106,7,FALSE),4),0),IF(ISNUMBER(VLOOKUP("5.1",A4:Z106,7,FALSE)),ROUND(VLOOKUP("5.1",A4:Z106,7,FALSE),4),0),IF(ISNUMBER(VLOOKUP("3",A4:Z106,7,FALSE)),ROUND(VLOOKUP("3",A4:Z106,7,FALSE),4),0)),0)</f>
        <v>0</v>
      </c>
      <c r="H33" s="10">
        <f>IF(IF(ISNUMBER(VLOOKUP("3",A4:Z106,8,FALSE)),ROUND(VLOOKUP("3",A4:Z106,8,FALSE),4),0)&gt;0,IF(IF(ISNUMBER(VLOOKUP("3",A4:Z106,8,FALSE)),ROUND(VLOOKUP("3",A4:Z106,8,FALSE),4),0)&gt;IF(ISNUMBER(VLOOKUP("5.1",A4:Z106,8,FALSE)),ROUND(VLOOKUP("5.1",A4:Z106,8,FALSE),4),0),IF(ISNUMBER(VLOOKUP("5.1",A4:Z106,8,FALSE)),ROUND(VLOOKUP("5.1",A4:Z106,8,FALSE),4),0),IF(ISNUMBER(VLOOKUP("3",A4:Z106,8,FALSE)),ROUND(VLOOKUP("3",A4:Z106,8,FALSE),4),0)),0)</f>
        <v>0</v>
      </c>
      <c r="I33" s="10">
        <f>IF(IF(ISNUMBER(VLOOKUP("3",A4:Z106,9,FALSE)),ROUND(VLOOKUP("3",A4:Z106,9,FALSE),4),0)&gt;0,IF(IF(ISNUMBER(VLOOKUP("3",A4:Z106,9,FALSE)),ROUND(VLOOKUP("3",A4:Z106,9,FALSE),4),0)&gt;IF(ISNUMBER(VLOOKUP("5.1",A4:Z106,9,FALSE)),ROUND(VLOOKUP("5.1",A4:Z106,9,FALSE),4),0),IF(ISNUMBER(VLOOKUP("5.1",A4:Z106,9,FALSE)),ROUND(VLOOKUP("5.1",A4:Z106,9,FALSE),4),0),IF(ISNUMBER(VLOOKUP("3",A4:Z106,9,FALSE)),ROUND(VLOOKUP("3",A4:Z106,9,FALSE),4),0)),0)</f>
        <v>0</v>
      </c>
      <c r="J33" s="10">
        <f>IF(IF(ISNUMBER(VLOOKUP("3",A4:Z106,10,FALSE)),ROUND(VLOOKUP("3",A4:Z106,10,FALSE),4),0)&gt;0,IF(IF(ISNUMBER(VLOOKUP("3",A4:Z106,10,FALSE)),ROUND(VLOOKUP("3",A4:Z106,10,FALSE),4),0)&gt;IF(ISNUMBER(VLOOKUP("5.1",A4:Z106,10,FALSE)),ROUND(VLOOKUP("5.1",A4:Z106,10,FALSE),4),0),IF(ISNUMBER(VLOOKUP("5.1",A4:Z106,10,FALSE)),ROUND(VLOOKUP("5.1",A4:Z106,10,FALSE),4),0),IF(ISNUMBER(VLOOKUP("3",A4:Z106,10,FALSE)),ROUND(VLOOKUP("3",A4:Z106,10,FALSE),4),0)),0)</f>
        <v>0</v>
      </c>
      <c r="K33" s="11">
        <f>IF(IF(ISNUMBER(VLOOKUP("3",A4:Z106,11,FALSE)),ROUND(VLOOKUP("3",A4:Z106,11,FALSE),4),0)&gt;0,IF(IF(ISNUMBER(VLOOKUP("3",A4:Z106,11,FALSE)),ROUND(VLOOKUP("3",A4:Z106,11,FALSE),4),0)&gt;IF(ISNUMBER(VLOOKUP("5.1",A4:Z106,11,FALSE)),ROUND(VLOOKUP("5.1",A4:Z106,11,FALSE),4),0),IF(ISNUMBER(VLOOKUP("5.1",A4:Z106,11,FALSE)),ROUND(VLOOKUP("5.1",A4:Z106,11,FALSE),4),0),IF(ISNUMBER(VLOOKUP("3",A4:Z106,11,FALSE)),ROUND(VLOOKUP("3",A4:Z106,11,FALSE),4),0)),0)</f>
        <v>0</v>
      </c>
      <c r="L33" s="11">
        <f>IF(IF(ISNUMBER(VLOOKUP("3",A4:Z106,12,FALSE)),ROUND(VLOOKUP("3",A4:Z106,12,FALSE),4),0)&gt;0,IF(IF(ISNUMBER(VLOOKUP("3",A4:Z106,12,FALSE)),ROUND(VLOOKUP("3",A4:Z106,12,FALSE),4),0)&gt;IF(ISNUMBER(VLOOKUP("5.1",A4:Z106,12,FALSE)),ROUND(VLOOKUP("5.1",A4:Z106,12,FALSE),4),0),IF(ISNUMBER(VLOOKUP("5.1",A4:Z106,12,FALSE)),ROUND(VLOOKUP("5.1",A4:Z106,12,FALSE),4),0),IF(ISNUMBER(VLOOKUP("3",A4:Z106,12,FALSE)),ROUND(VLOOKUP("3",A4:Z106,12,FALSE),4),0)),0)</f>
        <v>4221100</v>
      </c>
      <c r="M33" s="11">
        <f>IF(IF(ISNUMBER(VLOOKUP("3",A4:Z106,13,FALSE)),ROUND(VLOOKUP("3",A4:Z106,13,FALSE),4),0)&gt;0,IF(IF(ISNUMBER(VLOOKUP("3",A4:Z106,13,FALSE)),ROUND(VLOOKUP("3",A4:Z106,13,FALSE),4),0)&gt;IF(ISNUMBER(VLOOKUP("5.1",A4:Z106,13,FALSE)),ROUND(VLOOKUP("5.1",A4:Z106,13,FALSE),4),0),IF(ISNUMBER(VLOOKUP("5.1",A4:Z106,13,FALSE)),ROUND(VLOOKUP("5.1",A4:Z106,13,FALSE),4),0),IF(ISNUMBER(VLOOKUP("3",A4:Z106,13,FALSE)),ROUND(VLOOKUP("3",A4:Z106,13,FALSE),4),0)),0)</f>
        <v>4402931.79</v>
      </c>
      <c r="N33" s="11">
        <f>IF(IF(ISNUMBER(VLOOKUP("3",A4:Z106,14,FALSE)),ROUND(VLOOKUP("3",A4:Z106,14,FALSE),4),0)&gt;0,IF(IF(ISNUMBER(VLOOKUP("3",A4:Z106,14,FALSE)),ROUND(VLOOKUP("3",A4:Z106,14,FALSE),4),0)&gt;IF(ISNUMBER(VLOOKUP("5.1",A4:Z106,14,FALSE)),ROUND(VLOOKUP("5.1",A4:Z106,14,FALSE),4),0),IF(ISNUMBER(VLOOKUP("5.1",A4:Z106,14,FALSE)),ROUND(VLOOKUP("5.1",A4:Z106,14,FALSE),4),0),IF(ISNUMBER(VLOOKUP("3",A4:Z106,14,FALSE)),ROUND(VLOOKUP("3",A4:Z106,14,FALSE),4),0)),0)</f>
        <v>3937285</v>
      </c>
      <c r="O33" s="11">
        <f>IF(IF(ISNUMBER(VLOOKUP("3",A4:Z106,15,FALSE)),ROUND(VLOOKUP("3",A4:Z106,15,FALSE),4),0)&gt;0,IF(IF(ISNUMBER(VLOOKUP("3",A4:Z106,15,FALSE)),ROUND(VLOOKUP("3",A4:Z106,15,FALSE),4),0)&gt;IF(ISNUMBER(VLOOKUP("5.1",A4:Z106,15,FALSE)),ROUND(VLOOKUP("5.1",A4:Z106,15,FALSE),4),0),IF(ISNUMBER(VLOOKUP("5.1",A4:Z106,15,FALSE)),ROUND(VLOOKUP("5.1",A4:Z106,15,FALSE),4),0),IF(ISNUMBER(VLOOKUP("3",A4:Z106,15,FALSE)),ROUND(VLOOKUP("3",A4:Z106,15,FALSE),4),0)),0)</f>
        <v>5500000</v>
      </c>
      <c r="P33" s="11">
        <f>IF(IF(ISNUMBER(VLOOKUP("3",A4:Z106,16,FALSE)),ROUND(VLOOKUP("3",A4:Z106,16,FALSE),4),0)&gt;0,IF(IF(ISNUMBER(VLOOKUP("3",A4:Z106,16,FALSE)),ROUND(VLOOKUP("3",A4:Z106,16,FALSE),4),0)&gt;IF(ISNUMBER(VLOOKUP("5.1",A4:Z106,16,FALSE)),ROUND(VLOOKUP("5.1",A4:Z106,16,FALSE),4),0),IF(ISNUMBER(VLOOKUP("5.1",A4:Z106,16,FALSE)),ROUND(VLOOKUP("5.1",A4:Z106,16,FALSE),4),0),IF(ISNUMBER(VLOOKUP("3",A4:Z106,16,FALSE)),ROUND(VLOOKUP("3",A4:Z106,16,FALSE),4),0)),0)</f>
        <v>5500000</v>
      </c>
      <c r="Q33" s="11">
        <f>IF(IF(ISNUMBER(VLOOKUP("3",A4:Z106,17,FALSE)),ROUND(VLOOKUP("3",A4:Z106,17,FALSE),4),0)&gt;0,IF(IF(ISNUMBER(VLOOKUP("3",A4:Z106,17,FALSE)),ROUND(VLOOKUP("3",A4:Z106,17,FALSE),4),0)&gt;IF(ISNUMBER(VLOOKUP("5.1",A4:Z106,17,FALSE)),ROUND(VLOOKUP("5.1",A4:Z106,17,FALSE),4),0),IF(ISNUMBER(VLOOKUP("5.1",A4:Z106,17,FALSE)),ROUND(VLOOKUP("5.1",A4:Z106,17,FALSE),4),0),IF(ISNUMBER(VLOOKUP("3",A4:Z106,17,FALSE)),ROUND(VLOOKUP("3",A4:Z106,17,FALSE),4),0)),0)</f>
        <v>4000000</v>
      </c>
      <c r="R33" s="11">
        <f>IF(IF(ISNUMBER(VLOOKUP("3",A4:Z106,18,FALSE)),ROUND(VLOOKUP("3",A4:Z106,18,FALSE),4),0)&gt;0,IF(IF(ISNUMBER(VLOOKUP("3",A4:Z106,18,FALSE)),ROUND(VLOOKUP("3",A4:Z106,18,FALSE),4),0)&gt;IF(ISNUMBER(VLOOKUP("5.1",A4:Z106,18,FALSE)),ROUND(VLOOKUP("5.1",A4:Z106,18,FALSE),4),0),IF(ISNUMBER(VLOOKUP("5.1",A4:Z106,18,FALSE)),ROUND(VLOOKUP("5.1",A4:Z106,18,FALSE),4),0),IF(ISNUMBER(VLOOKUP("3",A4:Z106,18,FALSE)),ROUND(VLOOKUP("3",A4:Z106,18,FALSE),4),0)),0)</f>
        <v>4000000</v>
      </c>
      <c r="S33" s="11">
        <f>IF(IF(ISNUMBER(VLOOKUP("3",A4:Z106,19,FALSE)),ROUND(VLOOKUP("3",A4:Z106,19,FALSE),4),0)&gt;0,IF(IF(ISNUMBER(VLOOKUP("3",A4:Z106,19,FALSE)),ROUND(VLOOKUP("3",A4:Z106,19,FALSE),4),0)&gt;IF(ISNUMBER(VLOOKUP("5.1",A4:Z106,19,FALSE)),ROUND(VLOOKUP("5.1",A4:Z106,19,FALSE),4),0),IF(ISNUMBER(VLOOKUP("5.1",A4:Z106,19,FALSE)),ROUND(VLOOKUP("5.1",A4:Z106,19,FALSE),4),0),IF(ISNUMBER(VLOOKUP("3",A4:Z106,19,FALSE)),ROUND(VLOOKUP("3",A4:Z106,19,FALSE),4),0)),0)</f>
        <v>3500000</v>
      </c>
      <c r="T33" s="11">
        <f>IF(IF(ISNUMBER(VLOOKUP("3",A4:Z106,20,FALSE)),ROUND(VLOOKUP("3",A4:Z106,20,FALSE),4),0)&gt;0,IF(IF(ISNUMBER(VLOOKUP("3",A4:Z106,20,FALSE)),ROUND(VLOOKUP("3",A4:Z106,20,FALSE),4),0)&gt;IF(ISNUMBER(VLOOKUP("5.1",A4:Z106,20,FALSE)),ROUND(VLOOKUP("5.1",A4:Z106,20,FALSE),4),0),IF(ISNUMBER(VLOOKUP("5.1",A4:Z106,20,FALSE)),ROUND(VLOOKUP("5.1",A4:Z106,20,FALSE),4),0),IF(ISNUMBER(VLOOKUP("3",A4:Z106,20,FALSE)),ROUND(VLOOKUP("3",A4:Z106,20,FALSE),4),0)),0)</f>
        <v>3500000</v>
      </c>
      <c r="U33" s="11">
        <f>IF(IF(ISNUMBER(VLOOKUP("3",A4:Z106,21,FALSE)),ROUND(VLOOKUP("3",A4:Z106,21,FALSE),4),0)&gt;0,IF(IF(ISNUMBER(VLOOKUP("3",A4:Z106,21,FALSE)),ROUND(VLOOKUP("3",A4:Z106,21,FALSE),4),0)&gt;IF(ISNUMBER(VLOOKUP("5.1",A4:Z106,21,FALSE)),ROUND(VLOOKUP("5.1",A4:Z106,21,FALSE),4),0),IF(ISNUMBER(VLOOKUP("5.1",A4:Z106,21,FALSE)),ROUND(VLOOKUP("5.1",A4:Z106,21,FALSE),4),0),IF(ISNUMBER(VLOOKUP("3",A4:Z106,21,FALSE)),ROUND(VLOOKUP("3",A4:Z106,21,FALSE),4),0)),0)</f>
        <v>8000000</v>
      </c>
      <c r="V33" s="11">
        <f>IF(IF(ISNUMBER(VLOOKUP("3",A4:Z106,22,FALSE)),ROUND(VLOOKUP("3",A4:Z106,22,FALSE),4),0)&gt;0,IF(IF(ISNUMBER(VLOOKUP("3",A4:Z106,22,FALSE)),ROUND(VLOOKUP("3",A4:Z106,22,FALSE),4),0)&gt;IF(ISNUMBER(VLOOKUP("5.1",A4:Z106,22,FALSE)),ROUND(VLOOKUP("5.1",A4:Z106,22,FALSE),4),0),IF(ISNUMBER(VLOOKUP("5.1",A4:Z106,22,FALSE)),ROUND(VLOOKUP("5.1",A4:Z106,22,FALSE),4),0),IF(ISNUMBER(VLOOKUP("3",A4:Z106,22,FALSE)),ROUND(VLOOKUP("3",A4:Z106,22,FALSE),4),0)),0)</f>
        <v>7000000</v>
      </c>
      <c r="W33" s="11">
        <f>IF(IF(ISNUMBER(VLOOKUP("3",A4:Z106,23,FALSE)),ROUND(VLOOKUP("3",A4:Z106,23,FALSE),4),0)&gt;0,IF(IF(ISNUMBER(VLOOKUP("3",A4:Z106,23,FALSE)),ROUND(VLOOKUP("3",A4:Z106,23,FALSE),4),0)&gt;IF(ISNUMBER(VLOOKUP("5.1",A4:Z106,23,FALSE)),ROUND(VLOOKUP("5.1",A4:Z106,23,FALSE),4),0),IF(ISNUMBER(VLOOKUP("5.1",A4:Z106,23,FALSE)),ROUND(VLOOKUP("5.1",A4:Z106,23,FALSE),4),0),IF(ISNUMBER(VLOOKUP("3",A4:Z106,23,FALSE)),ROUND(VLOOKUP("3",A4:Z106,23,FALSE),4),0)),0)</f>
        <v>4000000</v>
      </c>
      <c r="X33" s="11">
        <f>IF(IF(ISNUMBER(VLOOKUP("3",A4:Z106,24,FALSE)),ROUND(VLOOKUP("3",A4:Z106,24,FALSE),4),0)&gt;0,IF(IF(ISNUMBER(VLOOKUP("3",A4:Z106,24,FALSE)),ROUND(VLOOKUP("3",A4:Z106,24,FALSE),4),0)&gt;IF(ISNUMBER(VLOOKUP("5.1",A4:Z106,24,FALSE)),ROUND(VLOOKUP("5.1",A4:Z106,24,FALSE),4),0),IF(ISNUMBER(VLOOKUP("5.1",A4:Z106,24,FALSE)),ROUND(VLOOKUP("5.1",A4:Z106,24,FALSE),4),0),IF(ISNUMBER(VLOOKUP("3",A4:Z106,24,FALSE)),ROUND(VLOOKUP("3",A4:Z106,24,FALSE),4),0)),0)</f>
        <v>7000000</v>
      </c>
      <c r="Y33" s="11">
        <f>IF(IF(ISNUMBER(VLOOKUP("3",A4:Z106,25,FALSE)),ROUND(VLOOKUP("3",A4:Z106,25,FALSE),4),0)&gt;0,IF(IF(ISNUMBER(VLOOKUP("3",A4:Z106,25,FALSE)),ROUND(VLOOKUP("3",A4:Z106,25,FALSE),4),0)&gt;IF(ISNUMBER(VLOOKUP("5.1",A4:Z106,25,FALSE)),ROUND(VLOOKUP("5.1",A4:Z106,25,FALSE),4),0),IF(ISNUMBER(VLOOKUP("5.1",A4:Z106,25,FALSE)),ROUND(VLOOKUP("5.1",A4:Z106,25,FALSE),4),0),IF(ISNUMBER(VLOOKUP("3",A4:Z106,25,FALSE)),ROUND(VLOOKUP("3",A4:Z106,25,FALSE),4),0)),0)</f>
        <v>6000000</v>
      </c>
      <c r="Z33" s="11">
        <f>IF(IF(ISNUMBER(VLOOKUP("3",A4:Z106,26,FALSE)),ROUND(VLOOKUP("3",A4:Z106,26,FALSE),4),0)&gt;0,IF(IF(ISNUMBER(VLOOKUP("3",A4:Z106,26,FALSE)),ROUND(VLOOKUP("3",A4:Z106,26,FALSE),4),0)&gt;IF(ISNUMBER(VLOOKUP("5.1",A4:Z106,26,FALSE)),ROUND(VLOOKUP("5.1",A4:Z106,26,FALSE),4),0),IF(ISNUMBER(VLOOKUP("5.1",A4:Z106,26,FALSE)),ROUND(VLOOKUP("5.1",A4:Z106,26,FALSE),4),0),IF(ISNUMBER(VLOOKUP("3",A4:Z106,26,FALSE)),ROUND(VLOOKUP("3",A4:Z106,26,FALSE),4),0)),0)</f>
        <v>7085309.6100000003</v>
      </c>
    </row>
    <row r="34" spans="1:26" ht="14.25" customHeight="1" x14ac:dyDescent="0.3">
      <c r="A34" s="2" t="s">
        <v>83</v>
      </c>
      <c r="B34" s="3" t="s">
        <v>84</v>
      </c>
      <c r="C34" s="4">
        <f>IF(ISNUMBER(VLOOKUP("4.1",A4:Z106,3,FALSE)),ROUND(VLOOKUP("4.1",A4:Z106,3,FALSE),4),0) + IF(ISNUMBER(VLOOKUP("4.2",A4:Z106,3,FALSE)),ROUND(VLOOKUP("4.2",A4:Z106,3,FALSE),4),0) + IF(ISNUMBER(VLOOKUP("4.3",A4:Z106,3,FALSE)),ROUND(VLOOKUP("4.3",A4:Z106,3,FALSE),4),0) + IF(ISNUMBER(VLOOKUP("4.4",A4:Z106,3,FALSE)),ROUND(VLOOKUP("4.4",A4:Z106,3,FALSE),4),0) + IF(ISNUMBER(VLOOKUP("4.5",A4:Z106,3,FALSE)),ROUND(VLOOKUP("4.5",A4:Z106,3,FALSE),4),0)</f>
        <v>0</v>
      </c>
      <c r="D34" s="4">
        <f>IF(ISNUMBER(VLOOKUP("4.1",A4:Z106,4,FALSE)),ROUND(VLOOKUP("4.1",A4:Z106,4,FALSE),4),0) + IF(ISNUMBER(VLOOKUP("4.2",A4:Z106,4,FALSE)),ROUND(VLOOKUP("4.2",A4:Z106,4,FALSE),4),0) + IF(ISNUMBER(VLOOKUP("4.3",A4:Z106,4,FALSE)),ROUND(VLOOKUP("4.3",A4:Z106,4,FALSE),4),0) + IF(ISNUMBER(VLOOKUP("4.4",A4:Z106,4,FALSE)),ROUND(VLOOKUP("4.4",A4:Z106,4,FALSE),4),0) + IF(ISNUMBER(VLOOKUP("4.5",A4:Z106,4,FALSE)),ROUND(VLOOKUP("4.5",A4:Z106,4,FALSE),4),0)</f>
        <v>7375402.21</v>
      </c>
      <c r="E34" s="4">
        <f>IF(ISNUMBER(VLOOKUP("4.1",A4:Z106,5,FALSE)),ROUND(VLOOKUP("4.1",A4:Z106,5,FALSE),4),0) + IF(ISNUMBER(VLOOKUP("4.2",A4:Z106,5,FALSE)),ROUND(VLOOKUP("4.2",A4:Z106,5,FALSE),4),0) + IF(ISNUMBER(VLOOKUP("4.3",A4:Z106,5,FALSE)),ROUND(VLOOKUP("4.3",A4:Z106,5,FALSE),4),0) + IF(ISNUMBER(VLOOKUP("4.4",A4:Z106,5,FALSE)),ROUND(VLOOKUP("4.4",A4:Z106,5,FALSE),4),0) + IF(ISNUMBER(VLOOKUP("4.5",A4:Z106,5,FALSE)),ROUND(VLOOKUP("4.5",A4:Z106,5,FALSE),4),0)</f>
        <v>9826572.0599999987</v>
      </c>
      <c r="F34" s="4">
        <f>IF(ISNUMBER(VLOOKUP("4.1",A4:Z106,6,FALSE)),ROUND(VLOOKUP("4.1",A4:Z106,6,FALSE),4),0) + IF(ISNUMBER(VLOOKUP("4.2",A4:Z106,6,FALSE)),ROUND(VLOOKUP("4.2",A4:Z106,6,FALSE),4),0) + IF(ISNUMBER(VLOOKUP("4.3",A4:Z106,6,FALSE)),ROUND(VLOOKUP("4.3",A4:Z106,6,FALSE),4),0) + IF(ISNUMBER(VLOOKUP("4.4",A4:Z106,6,FALSE)),ROUND(VLOOKUP("4.4",A4:Z106,6,FALSE),4),0) + IF(ISNUMBER(VLOOKUP("4.5",A4:Z106,6,FALSE)),ROUND(VLOOKUP("4.5",A4:Z106,6,FALSE),4),0)</f>
        <v>21721116.270000003</v>
      </c>
      <c r="G34" s="4">
        <f>IF(ISNUMBER(VLOOKUP("4.1",A4:Z106,7,FALSE)),ROUND(VLOOKUP("4.1",A4:Z106,7,FALSE),4),0) + IF(ISNUMBER(VLOOKUP("4.2",A4:Z106,7,FALSE)),ROUND(VLOOKUP("4.2",A4:Z106,7,FALSE),4),0) + IF(ISNUMBER(VLOOKUP("4.3",A4:Z106,7,FALSE)),ROUND(VLOOKUP("4.3",A4:Z106,7,FALSE),4),0) + IF(ISNUMBER(VLOOKUP("4.4",A4:Z106,7,FALSE)),ROUND(VLOOKUP("4.4",A4:Z106,7,FALSE),4),0) + IF(ISNUMBER(VLOOKUP("4.5",A4:Z106,7,FALSE)),ROUND(VLOOKUP("4.5",A4:Z106,7,FALSE),4),0)</f>
        <v>29235219.16</v>
      </c>
      <c r="H34" s="4">
        <f>IF(ISNUMBER(VLOOKUP("4.1",A4:Z106,8,FALSE)),ROUND(VLOOKUP("4.1",A4:Z106,8,FALSE),4),0) + IF(ISNUMBER(VLOOKUP("4.2",A4:Z106,8,FALSE)),ROUND(VLOOKUP("4.2",A4:Z106,8,FALSE),4),0) + IF(ISNUMBER(VLOOKUP("4.3",A4:Z106,8,FALSE)),ROUND(VLOOKUP("4.3",A4:Z106,8,FALSE),4),0) + IF(ISNUMBER(VLOOKUP("4.4",A4:Z106,8,FALSE)),ROUND(VLOOKUP("4.4",A4:Z106,8,FALSE),4),0) + IF(ISNUMBER(VLOOKUP("4.5",A4:Z106,8,FALSE)),ROUND(VLOOKUP("4.5",A4:Z106,8,FALSE),4),0)</f>
        <v>32936011.359999999</v>
      </c>
      <c r="I34" s="4">
        <f>IF(ISNUMBER(VLOOKUP("4.1",A4:Z106,9,FALSE)),ROUND(VLOOKUP("4.1",A4:Z106,9,FALSE),4),0) + IF(ISNUMBER(VLOOKUP("4.2",A4:Z106,9,FALSE)),ROUND(VLOOKUP("4.2",A4:Z106,9,FALSE),4),0) + IF(ISNUMBER(VLOOKUP("4.3",A4:Z106,9,FALSE)),ROUND(VLOOKUP("4.3",A4:Z106,9,FALSE),4),0) + IF(ISNUMBER(VLOOKUP("4.4",A4:Z106,9,FALSE)),ROUND(VLOOKUP("4.4",A4:Z106,9,FALSE),4),0) + IF(ISNUMBER(VLOOKUP("4.5",A4:Z106,9,FALSE)),ROUND(VLOOKUP("4.5",A4:Z106,9,FALSE),4),0)</f>
        <v>16633106.969999999</v>
      </c>
      <c r="J34" s="4">
        <f>IF(ISNUMBER(VLOOKUP("4.1",A4:Z106,10,FALSE)),ROUND(VLOOKUP("4.1",A4:Z106,10,FALSE),4),0) + IF(ISNUMBER(VLOOKUP("4.2",A4:Z106,10,FALSE)),ROUND(VLOOKUP("4.2",A4:Z106,10,FALSE),4),0) + IF(ISNUMBER(VLOOKUP("4.3",A4:Z106,10,FALSE)),ROUND(VLOOKUP("4.3",A4:Z106,10,FALSE),4),0) + IF(ISNUMBER(VLOOKUP("4.4",A4:Z106,10,FALSE)),ROUND(VLOOKUP("4.4",A4:Z106,10,FALSE),4),0) + IF(ISNUMBER(VLOOKUP("4.5",A4:Z106,10,FALSE)),ROUND(VLOOKUP("4.5",A4:Z106,10,FALSE),4),0)</f>
        <v>20873106.969999999</v>
      </c>
      <c r="K34" s="5">
        <f>IF(ISNUMBER(VLOOKUP("4.1",A4:Z106,11,FALSE)),ROUND(VLOOKUP("4.1",A4:Z106,11,FALSE),4),0) + IF(ISNUMBER(VLOOKUP("4.2",A4:Z106,11,FALSE)),ROUND(VLOOKUP("4.2",A4:Z106,11,FALSE),4),0) + IF(ISNUMBER(VLOOKUP("4.3",A4:Z106,11,FALSE)),ROUND(VLOOKUP("4.3",A4:Z106,11,FALSE),4),0) + IF(ISNUMBER(VLOOKUP("4.4",A4:Z106,11,FALSE)),ROUND(VLOOKUP("4.4",A4:Z106,11,FALSE),4),0) + IF(ISNUMBER(VLOOKUP("4.5",A4:Z106,11,FALSE)),ROUND(VLOOKUP("4.5",A4:Z106,11,FALSE),4),0)</f>
        <v>13259636.609999999</v>
      </c>
      <c r="L34" s="5">
        <f>IF(ISNUMBER(VLOOKUP("4.1",A4:Z106,12,FALSE)),ROUND(VLOOKUP("4.1",A4:Z106,12,FALSE),4),0) + IF(ISNUMBER(VLOOKUP("4.2",A4:Z106,12,FALSE)),ROUND(VLOOKUP("4.2",A4:Z106,12,FALSE),4),0) + IF(ISNUMBER(VLOOKUP("4.3",A4:Z106,12,FALSE)),ROUND(VLOOKUP("4.3",A4:Z106,12,FALSE),4),0) + IF(ISNUMBER(VLOOKUP("4.4",A4:Z106,12,FALSE)),ROUND(VLOOKUP("4.4",A4:Z106,12,FALSE),4),0) + IF(ISNUMBER(VLOOKUP("4.5",A4:Z106,12,FALSE)),ROUND(VLOOKUP("4.5",A4:Z106,12,FALSE),4),0)</f>
        <v>0</v>
      </c>
      <c r="M34" s="5">
        <f>IF(ISNUMBER(VLOOKUP("4.1",A4:Z106,13,FALSE)),ROUND(VLOOKUP("4.1",A4:Z106,13,FALSE),4),0) + IF(ISNUMBER(VLOOKUP("4.2",A4:Z106,13,FALSE)),ROUND(VLOOKUP("4.2",A4:Z106,13,FALSE),4),0) + IF(ISNUMBER(VLOOKUP("4.3",A4:Z106,13,FALSE)),ROUND(VLOOKUP("4.3",A4:Z106,13,FALSE),4),0) + IF(ISNUMBER(VLOOKUP("4.4",A4:Z106,13,FALSE)),ROUND(VLOOKUP("4.4",A4:Z106,13,FALSE),4),0) + IF(ISNUMBER(VLOOKUP("4.5",A4:Z106,13,FALSE)),ROUND(VLOOKUP("4.5",A4:Z106,13,FALSE),4),0)</f>
        <v>0</v>
      </c>
      <c r="N34" s="5">
        <f>IF(ISNUMBER(VLOOKUP("4.1",A4:Z106,14,FALSE)),ROUND(VLOOKUP("4.1",A4:Z106,14,FALSE),4),0) + IF(ISNUMBER(VLOOKUP("4.2",A4:Z106,14,FALSE)),ROUND(VLOOKUP("4.2",A4:Z106,14,FALSE),4),0) + IF(ISNUMBER(VLOOKUP("4.3",A4:Z106,14,FALSE)),ROUND(VLOOKUP("4.3",A4:Z106,14,FALSE),4),0) + IF(ISNUMBER(VLOOKUP("4.4",A4:Z106,14,FALSE)),ROUND(VLOOKUP("4.4",A4:Z106,14,FALSE),4),0) + IF(ISNUMBER(VLOOKUP("4.5",A4:Z106,14,FALSE)),ROUND(VLOOKUP("4.5",A4:Z106,14,FALSE),4),0)</f>
        <v>0</v>
      </c>
      <c r="O34" s="5">
        <f>IF(ISNUMBER(VLOOKUP("4.1",A4:Z106,15,FALSE)),ROUND(VLOOKUP("4.1",A4:Z106,15,FALSE),4),0) + IF(ISNUMBER(VLOOKUP("4.2",A4:Z106,15,FALSE)),ROUND(VLOOKUP("4.2",A4:Z106,15,FALSE),4),0) + IF(ISNUMBER(VLOOKUP("4.3",A4:Z106,15,FALSE)),ROUND(VLOOKUP("4.3",A4:Z106,15,FALSE),4),0) + IF(ISNUMBER(VLOOKUP("4.4",A4:Z106,15,FALSE)),ROUND(VLOOKUP("4.4",A4:Z106,15,FALSE),4),0) + IF(ISNUMBER(VLOOKUP("4.5",A4:Z106,15,FALSE)),ROUND(VLOOKUP("4.5",A4:Z106,15,FALSE),4),0)</f>
        <v>0</v>
      </c>
      <c r="P34" s="5">
        <f>IF(ISNUMBER(VLOOKUP("4.1",A4:Z106,16,FALSE)),ROUND(VLOOKUP("4.1",A4:Z106,16,FALSE),4),0) + IF(ISNUMBER(VLOOKUP("4.2",A4:Z106,16,FALSE)),ROUND(VLOOKUP("4.2",A4:Z106,16,FALSE),4),0) + IF(ISNUMBER(VLOOKUP("4.3",A4:Z106,16,FALSE)),ROUND(VLOOKUP("4.3",A4:Z106,16,FALSE),4),0) + IF(ISNUMBER(VLOOKUP("4.4",A4:Z106,16,FALSE)),ROUND(VLOOKUP("4.4",A4:Z106,16,FALSE),4),0) + IF(ISNUMBER(VLOOKUP("4.5",A4:Z106,16,FALSE)),ROUND(VLOOKUP("4.5",A4:Z106,16,FALSE),4),0)</f>
        <v>0</v>
      </c>
      <c r="Q34" s="5">
        <f>IF(ISNUMBER(VLOOKUP("4.1",A4:Z106,17,FALSE)),ROUND(VLOOKUP("4.1",A4:Z106,17,FALSE),4),0) + IF(ISNUMBER(VLOOKUP("4.2",A4:Z106,17,FALSE)),ROUND(VLOOKUP("4.2",A4:Z106,17,FALSE),4),0) + IF(ISNUMBER(VLOOKUP("4.3",A4:Z106,17,FALSE)),ROUND(VLOOKUP("4.3",A4:Z106,17,FALSE),4),0) + IF(ISNUMBER(VLOOKUP("4.4",A4:Z106,17,FALSE)),ROUND(VLOOKUP("4.4",A4:Z106,17,FALSE),4),0) + IF(ISNUMBER(VLOOKUP("4.5",A4:Z106,17,FALSE)),ROUND(VLOOKUP("4.5",A4:Z106,17,FALSE),4),0)</f>
        <v>0</v>
      </c>
      <c r="R34" s="5">
        <f>IF(ISNUMBER(VLOOKUP("4.1",A4:Z106,18,FALSE)),ROUND(VLOOKUP("4.1",A4:Z106,18,FALSE),4),0) + IF(ISNUMBER(VLOOKUP("4.2",A4:Z106,18,FALSE)),ROUND(VLOOKUP("4.2",A4:Z106,18,FALSE),4),0) + IF(ISNUMBER(VLOOKUP("4.3",A4:Z106,18,FALSE)),ROUND(VLOOKUP("4.3",A4:Z106,18,FALSE),4),0) + IF(ISNUMBER(VLOOKUP("4.4",A4:Z106,18,FALSE)),ROUND(VLOOKUP("4.4",A4:Z106,18,FALSE),4),0) + IF(ISNUMBER(VLOOKUP("4.5",A4:Z106,18,FALSE)),ROUND(VLOOKUP("4.5",A4:Z106,18,FALSE),4),0)</f>
        <v>0</v>
      </c>
      <c r="S34" s="5">
        <f>IF(ISNUMBER(VLOOKUP("4.1",A4:Z106,19,FALSE)),ROUND(VLOOKUP("4.1",A4:Z106,19,FALSE),4),0) + IF(ISNUMBER(VLOOKUP("4.2",A4:Z106,19,FALSE)),ROUND(VLOOKUP("4.2",A4:Z106,19,FALSE),4),0) + IF(ISNUMBER(VLOOKUP("4.3",A4:Z106,19,FALSE)),ROUND(VLOOKUP("4.3",A4:Z106,19,FALSE),4),0) + IF(ISNUMBER(VLOOKUP("4.4",A4:Z106,19,FALSE)),ROUND(VLOOKUP("4.4",A4:Z106,19,FALSE),4),0) + IF(ISNUMBER(VLOOKUP("4.5",A4:Z106,19,FALSE)),ROUND(VLOOKUP("4.5",A4:Z106,19,FALSE),4),0)</f>
        <v>0</v>
      </c>
      <c r="T34" s="5">
        <f>IF(ISNUMBER(VLOOKUP("4.1",A4:Z106,20,FALSE)),ROUND(VLOOKUP("4.1",A4:Z106,20,FALSE),4),0) + IF(ISNUMBER(VLOOKUP("4.2",A4:Z106,20,FALSE)),ROUND(VLOOKUP("4.2",A4:Z106,20,FALSE),4),0) + IF(ISNUMBER(VLOOKUP("4.3",A4:Z106,20,FALSE)),ROUND(VLOOKUP("4.3",A4:Z106,20,FALSE),4),0) + IF(ISNUMBER(VLOOKUP("4.4",A4:Z106,20,FALSE)),ROUND(VLOOKUP("4.4",A4:Z106,20,FALSE),4),0) + IF(ISNUMBER(VLOOKUP("4.5",A4:Z106,20,FALSE)),ROUND(VLOOKUP("4.5",A4:Z106,20,FALSE),4),0)</f>
        <v>0</v>
      </c>
      <c r="U34" s="5">
        <f>IF(ISNUMBER(VLOOKUP("4.1",A4:Z106,21,FALSE)),ROUND(VLOOKUP("4.1",A4:Z106,21,FALSE),4),0) + IF(ISNUMBER(VLOOKUP("4.2",A4:Z106,21,FALSE)),ROUND(VLOOKUP("4.2",A4:Z106,21,FALSE),4),0) + IF(ISNUMBER(VLOOKUP("4.3",A4:Z106,21,FALSE)),ROUND(VLOOKUP("4.3",A4:Z106,21,FALSE),4),0) + IF(ISNUMBER(VLOOKUP("4.4",A4:Z106,21,FALSE)),ROUND(VLOOKUP("4.4",A4:Z106,21,FALSE),4),0) + IF(ISNUMBER(VLOOKUP("4.5",A4:Z106,21,FALSE)),ROUND(VLOOKUP("4.5",A4:Z106,21,FALSE),4),0)</f>
        <v>0</v>
      </c>
      <c r="V34" s="5">
        <f>IF(ISNUMBER(VLOOKUP("4.1",A4:Z106,22,FALSE)),ROUND(VLOOKUP("4.1",A4:Z106,22,FALSE),4),0) + IF(ISNUMBER(VLOOKUP("4.2",A4:Z106,22,FALSE)),ROUND(VLOOKUP("4.2",A4:Z106,22,FALSE),4),0) + IF(ISNUMBER(VLOOKUP("4.3",A4:Z106,22,FALSE)),ROUND(VLOOKUP("4.3",A4:Z106,22,FALSE),4),0) + IF(ISNUMBER(VLOOKUP("4.4",A4:Z106,22,FALSE)),ROUND(VLOOKUP("4.4",A4:Z106,22,FALSE),4),0) + IF(ISNUMBER(VLOOKUP("4.5",A4:Z106,22,FALSE)),ROUND(VLOOKUP("4.5",A4:Z106,22,FALSE),4),0)</f>
        <v>0</v>
      </c>
      <c r="W34" s="5">
        <f>IF(ISNUMBER(VLOOKUP("4.1",A4:Z106,23,FALSE)),ROUND(VLOOKUP("4.1",A4:Z106,23,FALSE),4),0) + IF(ISNUMBER(VLOOKUP("4.2",A4:Z106,23,FALSE)),ROUND(VLOOKUP("4.2",A4:Z106,23,FALSE),4),0) + IF(ISNUMBER(VLOOKUP("4.3",A4:Z106,23,FALSE)),ROUND(VLOOKUP("4.3",A4:Z106,23,FALSE),4),0) + IF(ISNUMBER(VLOOKUP("4.4",A4:Z106,23,FALSE)),ROUND(VLOOKUP("4.4",A4:Z106,23,FALSE),4),0) + IF(ISNUMBER(VLOOKUP("4.5",A4:Z106,23,FALSE)),ROUND(VLOOKUP("4.5",A4:Z106,23,FALSE),4),0)</f>
        <v>0</v>
      </c>
      <c r="X34" s="5">
        <f>IF(ISNUMBER(VLOOKUP("4.1",A4:Z106,24,FALSE)),ROUND(VLOOKUP("4.1",A4:Z106,24,FALSE),4),0) + IF(ISNUMBER(VLOOKUP("4.2",A4:Z106,24,FALSE)),ROUND(VLOOKUP("4.2",A4:Z106,24,FALSE),4),0) + IF(ISNUMBER(VLOOKUP("4.3",A4:Z106,24,FALSE)),ROUND(VLOOKUP("4.3",A4:Z106,24,FALSE),4),0) + IF(ISNUMBER(VLOOKUP("4.4",A4:Z106,24,FALSE)),ROUND(VLOOKUP("4.4",A4:Z106,24,FALSE),4),0) + IF(ISNUMBER(VLOOKUP("4.5",A4:Z106,24,FALSE)),ROUND(VLOOKUP("4.5",A4:Z106,24,FALSE),4),0)</f>
        <v>0</v>
      </c>
      <c r="Y34" s="5">
        <f>IF(ISNUMBER(VLOOKUP("4.1",A4:Z106,25,FALSE)),ROUND(VLOOKUP("4.1",A4:Z106,25,FALSE),4),0) + IF(ISNUMBER(VLOOKUP("4.2",A4:Z106,25,FALSE)),ROUND(VLOOKUP("4.2",A4:Z106,25,FALSE),4),0) + IF(ISNUMBER(VLOOKUP("4.3",A4:Z106,25,FALSE)),ROUND(VLOOKUP("4.3",A4:Z106,25,FALSE),4),0) + IF(ISNUMBER(VLOOKUP("4.4",A4:Z106,25,FALSE)),ROUND(VLOOKUP("4.4",A4:Z106,25,FALSE),4),0) + IF(ISNUMBER(VLOOKUP("4.5",A4:Z106,25,FALSE)),ROUND(VLOOKUP("4.5",A4:Z106,25,FALSE),4),0)</f>
        <v>0</v>
      </c>
      <c r="Z34" s="5">
        <f>IF(ISNUMBER(VLOOKUP("4.1",A4:Z106,26,FALSE)),ROUND(VLOOKUP("4.1",A4:Z106,26,FALSE),4),0) + IF(ISNUMBER(VLOOKUP("4.2",A4:Z106,26,FALSE)),ROUND(VLOOKUP("4.2",A4:Z106,26,FALSE),4),0) + IF(ISNUMBER(VLOOKUP("4.3",A4:Z106,26,FALSE)),ROUND(VLOOKUP("4.3",A4:Z106,26,FALSE),4),0) + IF(ISNUMBER(VLOOKUP("4.4",A4:Z106,26,FALSE)),ROUND(VLOOKUP("4.4",A4:Z106,26,FALSE),4),0) + IF(ISNUMBER(VLOOKUP("4.5",A4:Z106,26,FALSE)),ROUND(VLOOKUP("4.5",A4:Z106,26,FALSE),4),0)</f>
        <v>0</v>
      </c>
    </row>
    <row r="35" spans="1:26" ht="14.25" customHeight="1" x14ac:dyDescent="0.3">
      <c r="A35" s="2" t="s">
        <v>85</v>
      </c>
      <c r="B35" s="3" t="s">
        <v>86</v>
      </c>
      <c r="C35" s="4">
        <v>0</v>
      </c>
      <c r="D35" s="4">
        <v>7000000</v>
      </c>
      <c r="E35" s="4">
        <v>8000000</v>
      </c>
      <c r="F35" s="4">
        <v>7000000</v>
      </c>
      <c r="G35" s="4">
        <v>8000000</v>
      </c>
      <c r="H35" s="4">
        <v>17000000</v>
      </c>
      <c r="I35" s="4">
        <v>10780979.609999999</v>
      </c>
      <c r="J35" s="4">
        <v>10780979.609999999</v>
      </c>
      <c r="K35" s="5">
        <v>8165646.79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14.25" customHeight="1" x14ac:dyDescent="0.3">
      <c r="A36" s="6" t="s">
        <v>87</v>
      </c>
      <c r="B36" s="7" t="s">
        <v>88</v>
      </c>
      <c r="C36" s="8">
        <v>0</v>
      </c>
      <c r="D36" s="8">
        <v>1493618.15</v>
      </c>
      <c r="E36" s="8">
        <v>0</v>
      </c>
      <c r="F36" s="8">
        <v>0</v>
      </c>
      <c r="G36" s="8">
        <v>4000000</v>
      </c>
      <c r="H36" s="8">
        <v>4198317.5599999996</v>
      </c>
      <c r="I36" s="8">
        <v>6780979.6100000003</v>
      </c>
      <c r="J36" s="8">
        <v>6780979.6100000003</v>
      </c>
      <c r="K36" s="9">
        <v>4165646.79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</row>
    <row r="37" spans="1:26" ht="14.25" customHeight="1" x14ac:dyDescent="0.3">
      <c r="A37" s="2" t="s">
        <v>89</v>
      </c>
      <c r="B37" s="3" t="s">
        <v>90</v>
      </c>
      <c r="C37" s="12">
        <v>0</v>
      </c>
      <c r="D37" s="12">
        <v>0</v>
      </c>
      <c r="E37" s="12">
        <v>831186.1</v>
      </c>
      <c r="F37" s="12">
        <v>5520285.2999999998</v>
      </c>
      <c r="G37" s="12">
        <v>12349457.710000001</v>
      </c>
      <c r="H37" s="12">
        <v>12556560.609999999</v>
      </c>
      <c r="I37" s="12">
        <v>5817207.3600000003</v>
      </c>
      <c r="J37" s="12">
        <v>10057207.359999999</v>
      </c>
      <c r="K37" s="13">
        <v>5093989.82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</row>
    <row r="38" spans="1:26" ht="14.25" customHeight="1" x14ac:dyDescent="0.3">
      <c r="A38" s="6" t="s">
        <v>91</v>
      </c>
      <c r="B38" s="7" t="s">
        <v>88</v>
      </c>
      <c r="C38" s="8">
        <v>0</v>
      </c>
      <c r="D38" s="8">
        <v>0</v>
      </c>
      <c r="E38" s="8">
        <v>0</v>
      </c>
      <c r="F38" s="8">
        <v>0</v>
      </c>
      <c r="G38" s="8">
        <v>595357.18999999994</v>
      </c>
      <c r="H38" s="8">
        <v>6395771.5700000003</v>
      </c>
      <c r="I38" s="8">
        <v>5817207.3600000003</v>
      </c>
      <c r="J38" s="8">
        <v>10057207.359999999</v>
      </c>
      <c r="K38" s="9">
        <v>5093989.82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</row>
    <row r="39" spans="1:26" ht="27" customHeight="1" x14ac:dyDescent="0.3">
      <c r="A39" s="6" t="s">
        <v>92</v>
      </c>
      <c r="B39" s="7" t="s">
        <v>93</v>
      </c>
      <c r="C39" s="8">
        <v>0</v>
      </c>
      <c r="D39" s="8">
        <v>375402.21</v>
      </c>
      <c r="E39" s="8">
        <v>995385.96</v>
      </c>
      <c r="F39" s="8">
        <v>9200830.9700000007</v>
      </c>
      <c r="G39" s="8">
        <v>8885761.4499999993</v>
      </c>
      <c r="H39" s="8">
        <v>3379450.75</v>
      </c>
      <c r="I39" s="8">
        <v>34920</v>
      </c>
      <c r="J39" s="8">
        <v>34920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</row>
    <row r="40" spans="1:26" ht="14.25" customHeight="1" x14ac:dyDescent="0.3">
      <c r="A40" s="6" t="s">
        <v>94</v>
      </c>
      <c r="B40" s="7" t="s">
        <v>88</v>
      </c>
      <c r="C40" s="8">
        <v>0</v>
      </c>
      <c r="D40" s="8">
        <v>263632</v>
      </c>
      <c r="E40" s="8">
        <v>0</v>
      </c>
      <c r="F40" s="8">
        <v>0</v>
      </c>
      <c r="G40" s="8">
        <v>4703851.55</v>
      </c>
      <c r="H40" s="8">
        <v>2676327.0299999998</v>
      </c>
      <c r="I40" s="8">
        <v>34920</v>
      </c>
      <c r="J40" s="8">
        <v>34920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</row>
    <row r="41" spans="1:26" ht="14.25" customHeight="1" x14ac:dyDescent="0.3">
      <c r="A41" s="6" t="s">
        <v>95</v>
      </c>
      <c r="B41" s="7" t="s">
        <v>96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</row>
    <row r="42" spans="1:26" ht="14.25" customHeight="1" x14ac:dyDescent="0.3">
      <c r="A42" s="6" t="s">
        <v>97</v>
      </c>
      <c r="B42" s="7" t="s">
        <v>88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</row>
    <row r="43" spans="1:26" ht="14.25" customHeight="1" x14ac:dyDescent="0.3">
      <c r="A43" s="2" t="s">
        <v>98</v>
      </c>
      <c r="B43" s="3" t="s">
        <v>99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</row>
    <row r="44" spans="1:26" ht="14.25" customHeight="1" x14ac:dyDescent="0.3">
      <c r="A44" s="6" t="s">
        <v>100</v>
      </c>
      <c r="B44" s="7" t="s">
        <v>88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</row>
    <row r="45" spans="1:26" ht="14.25" customHeight="1" x14ac:dyDescent="0.3">
      <c r="A45" s="2" t="s">
        <v>101</v>
      </c>
      <c r="B45" s="3" t="s">
        <v>102</v>
      </c>
      <c r="C45" s="4">
        <f>IF(ISNUMBER(VLOOKUP("5.1",A4:Z106,3,FALSE)),ROUND(VLOOKUP("5.1",A4:Z106,3,FALSE),4),0) + IF(ISNUMBER(VLOOKUP("5.2",A4:Z106,3,FALSE)),ROUND(VLOOKUP("5.2",A4:Z106,3,FALSE),4),0)</f>
        <v>0</v>
      </c>
      <c r="D45" s="4">
        <f>IF(ISNUMBER(VLOOKUP("5.1",A4:Z106,4,FALSE)),ROUND(VLOOKUP("5.1",A4:Z106,4,FALSE),4),0) + IF(ISNUMBER(VLOOKUP("5.2",A4:Z106,4,FALSE)),ROUND(VLOOKUP("5.2",A4:Z106,4,FALSE),4),0)</f>
        <v>3791580</v>
      </c>
      <c r="E45" s="4">
        <f>IF(ISNUMBER(VLOOKUP("5.1",A4:Z106,5,FALSE)),ROUND(VLOOKUP("5.1",A4:Z106,5,FALSE),4),0) + IF(ISNUMBER(VLOOKUP("5.2",A4:Z106,5,FALSE)),ROUND(VLOOKUP("5.2",A4:Z106,5,FALSE),4),0)</f>
        <v>3400000</v>
      </c>
      <c r="F45" s="4">
        <f>IF(ISNUMBER(VLOOKUP("5.1",A4:Z106,6,FALSE)),ROUND(VLOOKUP("5.1",A4:Z106,6,FALSE),4),0) + IF(ISNUMBER(VLOOKUP("5.2",A4:Z106,6,FALSE)),ROUND(VLOOKUP("5.2",A4:Z106,6,FALSE),4),0)</f>
        <v>3800000</v>
      </c>
      <c r="G45" s="4">
        <f>IF(ISNUMBER(VLOOKUP("5.1",A4:Z106,7,FALSE)),ROUND(VLOOKUP("5.1",A4:Z106,7,FALSE),4),0) + IF(ISNUMBER(VLOOKUP("5.2",A4:Z106,7,FALSE)),ROUND(VLOOKUP("5.2",A4:Z106,7,FALSE),4),0)</f>
        <v>4000000</v>
      </c>
      <c r="H45" s="4">
        <f>IF(ISNUMBER(VLOOKUP("5.1",A4:Z106,8,FALSE)),ROUND(VLOOKUP("5.1",A4:Z106,8,FALSE),4),0) + IF(ISNUMBER(VLOOKUP("5.2",A4:Z106,8,FALSE)),ROUND(VLOOKUP("5.2",A4:Z106,8,FALSE),4),0)</f>
        <v>4000000</v>
      </c>
      <c r="I45" s="4">
        <f>IF(ISNUMBER(VLOOKUP("5.1",A4:Z106,9,FALSE)),ROUND(VLOOKUP("5.1",A4:Z106,9,FALSE),4),0) + IF(ISNUMBER(VLOOKUP("5.2",A4:Z106,9,FALSE)),ROUND(VLOOKUP("5.2",A4:Z106,9,FALSE),4),0)</f>
        <v>4000000</v>
      </c>
      <c r="J45" s="4">
        <f>IF(ISNUMBER(VLOOKUP("5.1",A4:Z106,10,FALSE)),ROUND(VLOOKUP("5.1",A4:Z106,10,FALSE),4),0) + IF(ISNUMBER(VLOOKUP("5.2",A4:Z106,10,FALSE)),ROUND(VLOOKUP("5.2",A4:Z106,10,FALSE),4),0)</f>
        <v>4000000</v>
      </c>
      <c r="K45" s="5">
        <f>IF(ISNUMBER(VLOOKUP("5.1",A4:Z106,11,FALSE)),ROUND(VLOOKUP("5.1",A4:Z106,11,FALSE),4),0) + IF(ISNUMBER(VLOOKUP("5.2",A4:Z106,11,FALSE)),ROUND(VLOOKUP("5.2",A4:Z106,11,FALSE),4),0)</f>
        <v>4000000</v>
      </c>
      <c r="L45" s="5">
        <f>IF(ISNUMBER(VLOOKUP("5.1",A4:Z106,12,FALSE)),ROUND(VLOOKUP("5.1",A4:Z106,12,FALSE),4),0) + IF(ISNUMBER(VLOOKUP("5.2",A4:Z106,12,FALSE)),ROUND(VLOOKUP("5.2",A4:Z106,12,FALSE),4),0)</f>
        <v>4221100</v>
      </c>
      <c r="M45" s="5">
        <f>IF(ISNUMBER(VLOOKUP("5.1",A4:Z106,13,FALSE)),ROUND(VLOOKUP("5.1",A4:Z106,13,FALSE),4),0) + IF(ISNUMBER(VLOOKUP("5.2",A4:Z106,13,FALSE)),ROUND(VLOOKUP("5.2",A4:Z106,13,FALSE),4),0)</f>
        <v>4402931.79</v>
      </c>
      <c r="N45" s="5">
        <f>IF(ISNUMBER(VLOOKUP("5.1",A4:Z106,14,FALSE)),ROUND(VLOOKUP("5.1",A4:Z106,14,FALSE),4),0) + IF(ISNUMBER(VLOOKUP("5.2",A4:Z106,14,FALSE)),ROUND(VLOOKUP("5.2",A4:Z106,14,FALSE),4),0)</f>
        <v>3937285</v>
      </c>
      <c r="O45" s="5">
        <f>IF(ISNUMBER(VLOOKUP("5.1",A4:Z106,15,FALSE)),ROUND(VLOOKUP("5.1",A4:Z106,15,FALSE),4),0) + IF(ISNUMBER(VLOOKUP("5.2",A4:Z106,15,FALSE)),ROUND(VLOOKUP("5.2",A4:Z106,15,FALSE),4),0)</f>
        <v>5500000</v>
      </c>
      <c r="P45" s="5">
        <f>IF(ISNUMBER(VLOOKUP("5.1",A4:Z106,16,FALSE)),ROUND(VLOOKUP("5.1",A4:Z106,16,FALSE),4),0) + IF(ISNUMBER(VLOOKUP("5.2",A4:Z106,16,FALSE)),ROUND(VLOOKUP("5.2",A4:Z106,16,FALSE),4),0)</f>
        <v>5500000</v>
      </c>
      <c r="Q45" s="5">
        <f>IF(ISNUMBER(VLOOKUP("5.1",A4:Z106,17,FALSE)),ROUND(VLOOKUP("5.1",A4:Z106,17,FALSE),4),0) + IF(ISNUMBER(VLOOKUP("5.2",A4:Z106,17,FALSE)),ROUND(VLOOKUP("5.2",A4:Z106,17,FALSE),4),0)</f>
        <v>4000000</v>
      </c>
      <c r="R45" s="5">
        <f>IF(ISNUMBER(VLOOKUP("5.1",A4:Z106,18,FALSE)),ROUND(VLOOKUP("5.1",A4:Z106,18,FALSE),4),0) + IF(ISNUMBER(VLOOKUP("5.2",A4:Z106,18,FALSE)),ROUND(VLOOKUP("5.2",A4:Z106,18,FALSE),4),0)</f>
        <v>4000000</v>
      </c>
      <c r="S45" s="5">
        <f>IF(ISNUMBER(VLOOKUP("5.1",A4:Z106,19,FALSE)),ROUND(VLOOKUP("5.1",A4:Z106,19,FALSE),4),0) + IF(ISNUMBER(VLOOKUP("5.2",A4:Z106,19,FALSE)),ROUND(VLOOKUP("5.2",A4:Z106,19,FALSE),4),0)</f>
        <v>3500000</v>
      </c>
      <c r="T45" s="5">
        <f>IF(ISNUMBER(VLOOKUP("5.1",A4:Z106,20,FALSE)),ROUND(VLOOKUP("5.1",A4:Z106,20,FALSE),4),0) + IF(ISNUMBER(VLOOKUP("5.2",A4:Z106,20,FALSE)),ROUND(VLOOKUP("5.2",A4:Z106,20,FALSE),4),0)</f>
        <v>3500000</v>
      </c>
      <c r="U45" s="5">
        <f>IF(ISNUMBER(VLOOKUP("5.1",A4:Z106,21,FALSE)),ROUND(VLOOKUP("5.1",A4:Z106,21,FALSE),4),0) + IF(ISNUMBER(VLOOKUP("5.2",A4:Z106,21,FALSE)),ROUND(VLOOKUP("5.2",A4:Z106,21,FALSE),4),0)</f>
        <v>8000000</v>
      </c>
      <c r="V45" s="5">
        <f>IF(ISNUMBER(VLOOKUP("5.1",A4:Z106,22,FALSE)),ROUND(VLOOKUP("5.1",A4:Z106,22,FALSE),4),0) + IF(ISNUMBER(VLOOKUP("5.2",A4:Z106,22,FALSE)),ROUND(VLOOKUP("5.2",A4:Z106,22,FALSE),4),0)</f>
        <v>7000000</v>
      </c>
      <c r="W45" s="5">
        <f>IF(ISNUMBER(VLOOKUP("5.1",A4:Z106,23,FALSE)),ROUND(VLOOKUP("5.1",A4:Z106,23,FALSE),4),0) + IF(ISNUMBER(VLOOKUP("5.2",A4:Z106,23,FALSE)),ROUND(VLOOKUP("5.2",A4:Z106,23,FALSE),4),0)</f>
        <v>4000000</v>
      </c>
      <c r="X45" s="5">
        <f>IF(ISNUMBER(VLOOKUP("5.1",A4:Z106,24,FALSE)),ROUND(VLOOKUP("5.1",A4:Z106,24,FALSE),4),0) + IF(ISNUMBER(VLOOKUP("5.2",A4:Z106,24,FALSE)),ROUND(VLOOKUP("5.2",A4:Z106,24,FALSE),4),0)</f>
        <v>7000000</v>
      </c>
      <c r="Y45" s="5">
        <f>IF(ISNUMBER(VLOOKUP("5.1",A4:Z106,25,FALSE)),ROUND(VLOOKUP("5.1",A4:Z106,25,FALSE),4),0) + IF(ISNUMBER(VLOOKUP("5.2",A4:Z106,25,FALSE)),ROUND(VLOOKUP("5.2",A4:Z106,25,FALSE),4),0)</f>
        <v>6000000</v>
      </c>
      <c r="Z45" s="5">
        <f>IF(ISNUMBER(VLOOKUP("5.1",A4:Z106,26,FALSE)),ROUND(VLOOKUP("5.1",A4:Z106,26,FALSE),4),0) + IF(ISNUMBER(VLOOKUP("5.2",A4:Z106,26,FALSE)),ROUND(VLOOKUP("5.2",A4:Z106,26,FALSE),4),0)</f>
        <v>7085309.6100000003</v>
      </c>
    </row>
    <row r="46" spans="1:26" ht="27" customHeight="1" x14ac:dyDescent="0.3">
      <c r="A46" s="2" t="s">
        <v>103</v>
      </c>
      <c r="B46" s="3" t="s">
        <v>104</v>
      </c>
      <c r="C46" s="4">
        <v>0</v>
      </c>
      <c r="D46" s="4">
        <v>3791580</v>
      </c>
      <c r="E46" s="4">
        <v>3400000</v>
      </c>
      <c r="F46" s="4">
        <v>3800000</v>
      </c>
      <c r="G46" s="4">
        <v>4000000</v>
      </c>
      <c r="H46" s="4">
        <v>4000000</v>
      </c>
      <c r="I46" s="4">
        <v>4000000</v>
      </c>
      <c r="J46" s="4">
        <v>4000000</v>
      </c>
      <c r="K46" s="5">
        <v>4000000</v>
      </c>
      <c r="L46" s="5">
        <v>4221100</v>
      </c>
      <c r="M46" s="5">
        <v>4402931.79</v>
      </c>
      <c r="N46" s="5">
        <v>3937285</v>
      </c>
      <c r="O46" s="5">
        <v>5500000</v>
      </c>
      <c r="P46" s="5">
        <v>5500000</v>
      </c>
      <c r="Q46" s="5">
        <v>4000000</v>
      </c>
      <c r="R46" s="5">
        <v>4000000</v>
      </c>
      <c r="S46" s="5">
        <v>3500000</v>
      </c>
      <c r="T46" s="5">
        <v>3500000</v>
      </c>
      <c r="U46" s="5">
        <v>8000000</v>
      </c>
      <c r="V46" s="5">
        <v>7000000</v>
      </c>
      <c r="W46" s="5">
        <v>4000000</v>
      </c>
      <c r="X46" s="5">
        <v>7000000</v>
      </c>
      <c r="Y46" s="5">
        <v>6000000</v>
      </c>
      <c r="Z46" s="5">
        <v>7085309.6100000003</v>
      </c>
    </row>
    <row r="47" spans="1:26" ht="27" customHeight="1" x14ac:dyDescent="0.3">
      <c r="A47" s="6" t="s">
        <v>105</v>
      </c>
      <c r="B47" s="7" t="s">
        <v>106</v>
      </c>
      <c r="C47" s="10">
        <f>IF(ISNUMBER(VLOOKUP("5.1.1.1",A4:Z106,3,FALSE)),ROUND(VLOOKUP("5.1.1.1",A4:Z106,3,FALSE),4),0) + IF(ISNUMBER(VLOOKUP("5.1.1.2",A4:Z106,3,FALSE)),ROUND(VLOOKUP("5.1.1.2",A4:Z106,3,FALSE),4),0) + IF(ISNUMBER(VLOOKUP("5.1.1.3",A4:Z106,3,FALSE)),ROUND(VLOOKUP("5.1.1.3",A4:Z106,3,FALSE),4),0) + IF(ISNA(VLOOKUP("5.1.1.4",A4:Z106,3,FALSE)),0,ROUND(VLOOKUP("5.1.1.4",A4:Z106,3,FALSE),4))</f>
        <v>0</v>
      </c>
      <c r="D47" s="10">
        <f>IF(ISNUMBER(VLOOKUP("5.1.1.1",A4:Z106,4,FALSE)),ROUND(VLOOKUP("5.1.1.1",A4:Z106,4,FALSE),4),0) + IF(ISNUMBER(VLOOKUP("5.1.1.2",A4:Z106,4,FALSE)),ROUND(VLOOKUP("5.1.1.2",A4:Z106,4,FALSE),4),0) + IF(ISNUMBER(VLOOKUP("5.1.1.3",A4:Z106,4,FALSE)),ROUND(VLOOKUP("5.1.1.3",A4:Z106,4,FALSE),4),0) + IF(ISNA(VLOOKUP("5.1.1.4",A4:Z106,4,FALSE)),0,ROUND(VLOOKUP("5.1.1.4",A4:Z106,4,FALSE),4))</f>
        <v>0</v>
      </c>
      <c r="E47" s="10">
        <f>IF(ISNUMBER(VLOOKUP("5.1.1.1",A4:Z106,5,FALSE)),ROUND(VLOOKUP("5.1.1.1",A4:Z106,5,FALSE),4),0) + IF(ISNUMBER(VLOOKUP("5.1.1.2",A4:Z106,5,FALSE)),ROUND(VLOOKUP("5.1.1.2",A4:Z106,5,FALSE),4),0) + IF(ISNUMBER(VLOOKUP("5.1.1.3",A4:Z106,5,FALSE)),ROUND(VLOOKUP("5.1.1.3",A4:Z106,5,FALSE),4),0) + IF(ISNA(VLOOKUP("5.1.1.4",A4:Z106,5,FALSE)),0,ROUND(VLOOKUP("5.1.1.4",A4:Z106,5,FALSE),4))</f>
        <v>0</v>
      </c>
      <c r="F47" s="10">
        <f>IF(ISNUMBER(VLOOKUP("5.1.1.1",A4:Z106,6,FALSE)),ROUND(VLOOKUP("5.1.1.1",A4:Z106,6,FALSE),4),0) + IF(ISNUMBER(VLOOKUP("5.1.1.2",A4:Z106,6,FALSE)),ROUND(VLOOKUP("5.1.1.2",A4:Z106,6,FALSE),4),0) + IF(ISNUMBER(VLOOKUP("5.1.1.3",A4:Z106,6,FALSE)),ROUND(VLOOKUP("5.1.1.3",A4:Z106,6,FALSE),4),0) + IF(ISNA(VLOOKUP("5.1.1.4",A4:Z106,6,FALSE)),0,ROUND(VLOOKUP("5.1.1.4",A4:Z106,6,FALSE),4))</f>
        <v>0</v>
      </c>
      <c r="G47" s="10">
        <f>IF(ISNUMBER(VLOOKUP("5.1.1.1",A4:Z106,7,FALSE)),ROUND(VLOOKUP("5.1.1.1",A4:Z106,7,FALSE),4),0) + IF(ISNUMBER(VLOOKUP("5.1.1.2",A4:Z106,7,FALSE)),ROUND(VLOOKUP("5.1.1.2",A4:Z106,7,FALSE),4),0) + IF(ISNUMBER(VLOOKUP("5.1.1.3",A4:Z106,7,FALSE)),ROUND(VLOOKUP("5.1.1.3",A4:Z106,7,FALSE),4),0) + IF(ISNA(VLOOKUP("5.1.1.4",A4:Z106,7,FALSE)),0,ROUND(VLOOKUP("5.1.1.4",A4:Z106,7,FALSE),4))</f>
        <v>0</v>
      </c>
      <c r="H47" s="10">
        <f>IF(ISNUMBER(VLOOKUP("5.1.1.1",A4:Z106,8,FALSE)),ROUND(VLOOKUP("5.1.1.1",A4:Z106,8,FALSE),4),0) + IF(ISNUMBER(VLOOKUP("5.1.1.2",A4:Z106,8,FALSE)),ROUND(VLOOKUP("5.1.1.2",A4:Z106,8,FALSE),4),0) + IF(ISNUMBER(VLOOKUP("5.1.1.3",A4:Z106,8,FALSE)),ROUND(VLOOKUP("5.1.1.3",A4:Z106,8,FALSE),4),0) + IF(ISNA(VLOOKUP("5.1.1.4",A4:Z106,8,FALSE)),0,ROUND(VLOOKUP("5.1.1.4",A4:Z106,8,FALSE),4))</f>
        <v>0</v>
      </c>
      <c r="I47" s="10">
        <f>IF(ISNUMBER(VLOOKUP("5.1.1.1",A4:Z106,9,FALSE)),ROUND(VLOOKUP("5.1.1.1",A4:Z106,9,FALSE),4),0) + IF(ISNUMBER(VLOOKUP("5.1.1.2",A4:Z106,9,FALSE)),ROUND(VLOOKUP("5.1.1.2",A4:Z106,9,FALSE),4),0) + IF(ISNUMBER(VLOOKUP("5.1.1.3",A4:Z106,9,FALSE)),ROUND(VLOOKUP("5.1.1.3",A4:Z106,9,FALSE),4),0) + IF(ISNA(VLOOKUP("5.1.1.4",A4:Z106,9,FALSE)),0,ROUND(VLOOKUP("5.1.1.4",A4:Z106,9,FALSE),4))</f>
        <v>0</v>
      </c>
      <c r="J47" s="10">
        <f>IF(ISNUMBER(VLOOKUP("5.1.1.1",A4:Z106,10,FALSE)),ROUND(VLOOKUP("5.1.1.1",A4:Z106,10,FALSE),4),0) + IF(ISNUMBER(VLOOKUP("5.1.1.2",A4:Z106,10,FALSE)),ROUND(VLOOKUP("5.1.1.2",A4:Z106,10,FALSE),4),0) + IF(ISNUMBER(VLOOKUP("5.1.1.3",A4:Z106,10,FALSE)),ROUND(VLOOKUP("5.1.1.3",A4:Z106,10,FALSE),4),0) + IF(ISNA(VLOOKUP("5.1.1.4",A4:Z106,10,FALSE)),0,ROUND(VLOOKUP("5.1.1.4",A4:Z106,10,FALSE),4))</f>
        <v>0</v>
      </c>
      <c r="K47" s="11">
        <f>IF(ISNUMBER(VLOOKUP("5.1.1.1",A4:Z106,11,FALSE)),ROUND(VLOOKUP("5.1.1.1",A4:Z106,11,FALSE),4),0) + IF(ISNUMBER(VLOOKUP("5.1.1.2",A4:Z106,11,FALSE)),ROUND(VLOOKUP("5.1.1.2",A4:Z106,11,FALSE),4),0) + IF(ISNUMBER(VLOOKUP("5.1.1.3",A4:Z106,11,FALSE)),ROUND(VLOOKUP("5.1.1.3",A4:Z106,11,FALSE),4),0) + IF(ISNA(VLOOKUP("5.1.1.4",A4:Z106,11,FALSE)),0,ROUND(VLOOKUP("5.1.1.4",A4:Z106,11,FALSE),4))</f>
        <v>0</v>
      </c>
      <c r="L47" s="11">
        <f>IF(ISNUMBER(VLOOKUP("5.1.1.1",A4:Z106,12,FALSE)),ROUND(VLOOKUP("5.1.1.1",A4:Z106,12,FALSE),4),0) + IF(ISNUMBER(VLOOKUP("5.1.1.2",A4:Z106,12,FALSE)),ROUND(VLOOKUP("5.1.1.2",A4:Z106,12,FALSE),4),0) + IF(ISNUMBER(VLOOKUP("5.1.1.3",A4:Z106,12,FALSE)),ROUND(VLOOKUP("5.1.1.3",A4:Z106,12,FALSE),4),0) + IF(ISNA(VLOOKUP("5.1.1.4",A4:Z106,12,FALSE)),0,ROUND(VLOOKUP("5.1.1.4",A4:Z106,12,FALSE),4))</f>
        <v>0</v>
      </c>
      <c r="M47" s="11">
        <f>IF(ISNUMBER(VLOOKUP("5.1.1.1",A4:Z106,13,FALSE)),ROUND(VLOOKUP("5.1.1.1",A4:Z106,13,FALSE),4),0) + IF(ISNUMBER(VLOOKUP("5.1.1.2",A4:Z106,13,FALSE)),ROUND(VLOOKUP("5.1.1.2",A4:Z106,13,FALSE),4),0) + IF(ISNUMBER(VLOOKUP("5.1.1.3",A4:Z106,13,FALSE)),ROUND(VLOOKUP("5.1.1.3",A4:Z106,13,FALSE),4),0) + IF(ISNA(VLOOKUP("5.1.1.4",A4:Z106,13,FALSE)),0,ROUND(VLOOKUP("5.1.1.4",A4:Z106,13,FALSE),4))</f>
        <v>0</v>
      </c>
      <c r="N47" s="11">
        <f>IF(ISNUMBER(VLOOKUP("5.1.1.1",A4:Z106,14,FALSE)),ROUND(VLOOKUP("5.1.1.1",A4:Z106,14,FALSE),4),0) + IF(ISNUMBER(VLOOKUP("5.1.1.2",A4:Z106,14,FALSE)),ROUND(VLOOKUP("5.1.1.2",A4:Z106,14,FALSE),4),0) + IF(ISNUMBER(VLOOKUP("5.1.1.3",A4:Z106,14,FALSE)),ROUND(VLOOKUP("5.1.1.3",A4:Z106,14,FALSE),4),0) + IF(ISNA(VLOOKUP("5.1.1.4",A4:Z106,14,FALSE)),0,ROUND(VLOOKUP("5.1.1.4",A4:Z106,14,FALSE),4))</f>
        <v>0</v>
      </c>
      <c r="O47" s="11">
        <f>IF(ISNUMBER(VLOOKUP("5.1.1.1",A4:Z106,15,FALSE)),ROUND(VLOOKUP("5.1.1.1",A4:Z106,15,FALSE),4),0) + IF(ISNUMBER(VLOOKUP("5.1.1.2",A4:Z106,15,FALSE)),ROUND(VLOOKUP("5.1.1.2",A4:Z106,15,FALSE),4),0) + IF(ISNUMBER(VLOOKUP("5.1.1.3",A4:Z106,15,FALSE)),ROUND(VLOOKUP("5.1.1.3",A4:Z106,15,FALSE),4),0) + IF(ISNA(VLOOKUP("5.1.1.4",A4:Z106,15,FALSE)),0,ROUND(VLOOKUP("5.1.1.4",A4:Z106,15,FALSE),4))</f>
        <v>0</v>
      </c>
      <c r="P47" s="11">
        <f>IF(ISNUMBER(VLOOKUP("5.1.1.1",A4:Z106,16,FALSE)),ROUND(VLOOKUP("5.1.1.1",A4:Z106,16,FALSE),4),0) + IF(ISNUMBER(VLOOKUP("5.1.1.2",A4:Z106,16,FALSE)),ROUND(VLOOKUP("5.1.1.2",A4:Z106,16,FALSE),4),0) + IF(ISNUMBER(VLOOKUP("5.1.1.3",A4:Z106,16,FALSE)),ROUND(VLOOKUP("5.1.1.3",A4:Z106,16,FALSE),4),0) + IF(ISNA(VLOOKUP("5.1.1.4",A4:Z106,16,FALSE)),0,ROUND(VLOOKUP("5.1.1.4",A4:Z106,16,FALSE),4))</f>
        <v>0</v>
      </c>
      <c r="Q47" s="11">
        <f>IF(ISNUMBER(VLOOKUP("5.1.1.1",A4:Z106,17,FALSE)),ROUND(VLOOKUP("5.1.1.1",A4:Z106,17,FALSE),4),0) + IF(ISNUMBER(VLOOKUP("5.1.1.2",A4:Z106,17,FALSE)),ROUND(VLOOKUP("5.1.1.2",A4:Z106,17,FALSE),4),0) + IF(ISNUMBER(VLOOKUP("5.1.1.3",A4:Z106,17,FALSE)),ROUND(VLOOKUP("5.1.1.3",A4:Z106,17,FALSE),4),0) + IF(ISNA(VLOOKUP("5.1.1.4",A4:Z106,17,FALSE)),0,ROUND(VLOOKUP("5.1.1.4",A4:Z106,17,FALSE),4))</f>
        <v>0</v>
      </c>
      <c r="R47" s="11">
        <f>IF(ISNUMBER(VLOOKUP("5.1.1.1",A4:Z106,18,FALSE)),ROUND(VLOOKUP("5.1.1.1",A4:Z106,18,FALSE),4),0) + IF(ISNUMBER(VLOOKUP("5.1.1.2",A4:Z106,18,FALSE)),ROUND(VLOOKUP("5.1.1.2",A4:Z106,18,FALSE),4),0) + IF(ISNUMBER(VLOOKUP("5.1.1.3",A4:Z106,18,FALSE)),ROUND(VLOOKUP("5.1.1.3",A4:Z106,18,FALSE),4),0) + IF(ISNA(VLOOKUP("5.1.1.4",A4:Z106,18,FALSE)),0,ROUND(VLOOKUP("5.1.1.4",A4:Z106,18,FALSE),4))</f>
        <v>0</v>
      </c>
      <c r="S47" s="11">
        <f>IF(ISNUMBER(VLOOKUP("5.1.1.1",A4:Z106,19,FALSE)),ROUND(VLOOKUP("5.1.1.1",A4:Z106,19,FALSE),4),0) + IF(ISNUMBER(VLOOKUP("5.1.1.2",A4:Z106,19,FALSE)),ROUND(VLOOKUP("5.1.1.2",A4:Z106,19,FALSE),4),0) + IF(ISNUMBER(VLOOKUP("5.1.1.3",A4:Z106,19,FALSE)),ROUND(VLOOKUP("5.1.1.3",A4:Z106,19,FALSE),4),0) + IF(ISNA(VLOOKUP("5.1.1.4",A4:Z106,19,FALSE)),0,ROUND(VLOOKUP("5.1.1.4",A4:Z106,19,FALSE),4))</f>
        <v>0</v>
      </c>
      <c r="T47" s="11">
        <f>IF(ISNUMBER(VLOOKUP("5.1.1.1",A4:Z106,20,FALSE)),ROUND(VLOOKUP("5.1.1.1",A4:Z106,20,FALSE),4),0) + IF(ISNUMBER(VLOOKUP("5.1.1.2",A4:Z106,20,FALSE)),ROUND(VLOOKUP("5.1.1.2",A4:Z106,20,FALSE),4),0) + IF(ISNUMBER(VLOOKUP("5.1.1.3",A4:Z106,20,FALSE)),ROUND(VLOOKUP("5.1.1.3",A4:Z106,20,FALSE),4),0) + IF(ISNA(VLOOKUP("5.1.1.4",A4:Z106,20,FALSE)),0,ROUND(VLOOKUP("5.1.1.4",A4:Z106,20,FALSE),4))</f>
        <v>0</v>
      </c>
      <c r="U47" s="11">
        <f>IF(ISNUMBER(VLOOKUP("5.1.1.1",A4:Z106,21,FALSE)),ROUND(VLOOKUP("5.1.1.1",A4:Z106,21,FALSE),4),0) + IF(ISNUMBER(VLOOKUP("5.1.1.2",A4:Z106,21,FALSE)),ROUND(VLOOKUP("5.1.1.2",A4:Z106,21,FALSE),4),0) + IF(ISNUMBER(VLOOKUP("5.1.1.3",A4:Z106,21,FALSE)),ROUND(VLOOKUP("5.1.1.3",A4:Z106,21,FALSE),4),0) + IF(ISNA(VLOOKUP("5.1.1.4",A4:Z106,21,FALSE)),0,ROUND(VLOOKUP("5.1.1.4",A4:Z106,21,FALSE),4))</f>
        <v>0</v>
      </c>
      <c r="V47" s="11">
        <f>IF(ISNUMBER(VLOOKUP("5.1.1.1",A4:Z106,22,FALSE)),ROUND(VLOOKUP("5.1.1.1",A4:Z106,22,FALSE),4),0) + IF(ISNUMBER(VLOOKUP("5.1.1.2",A4:Z106,22,FALSE)),ROUND(VLOOKUP("5.1.1.2",A4:Z106,22,FALSE),4),0) + IF(ISNUMBER(VLOOKUP("5.1.1.3",A4:Z106,22,FALSE)),ROUND(VLOOKUP("5.1.1.3",A4:Z106,22,FALSE),4),0) + IF(ISNA(VLOOKUP("5.1.1.4",A4:Z106,22,FALSE)),0,ROUND(VLOOKUP("5.1.1.4",A4:Z106,22,FALSE),4))</f>
        <v>0</v>
      </c>
      <c r="W47" s="11">
        <f>IF(ISNUMBER(VLOOKUP("5.1.1.1",A4:Z106,23,FALSE)),ROUND(VLOOKUP("5.1.1.1",A4:Z106,23,FALSE),4),0) + IF(ISNUMBER(VLOOKUP("5.1.1.2",A4:Z106,23,FALSE)),ROUND(VLOOKUP("5.1.1.2",A4:Z106,23,FALSE),4),0) + IF(ISNUMBER(VLOOKUP("5.1.1.3",A4:Z106,23,FALSE)),ROUND(VLOOKUP("5.1.1.3",A4:Z106,23,FALSE),4),0) + IF(ISNA(VLOOKUP("5.1.1.4",A4:Z106,23,FALSE)),0,ROUND(VLOOKUP("5.1.1.4",A4:Z106,23,FALSE),4))</f>
        <v>0</v>
      </c>
      <c r="X47" s="11">
        <f>IF(ISNUMBER(VLOOKUP("5.1.1.1",A4:Z106,24,FALSE)),ROUND(VLOOKUP("5.1.1.1",A4:Z106,24,FALSE),4),0) + IF(ISNUMBER(VLOOKUP("5.1.1.2",A4:Z106,24,FALSE)),ROUND(VLOOKUP("5.1.1.2",A4:Z106,24,FALSE),4),0) + IF(ISNUMBER(VLOOKUP("5.1.1.3",A4:Z106,24,FALSE)),ROUND(VLOOKUP("5.1.1.3",A4:Z106,24,FALSE),4),0) + IF(ISNA(VLOOKUP("5.1.1.4",A4:Z106,24,FALSE)),0,ROUND(VLOOKUP("5.1.1.4",A4:Z106,24,FALSE),4))</f>
        <v>0</v>
      </c>
      <c r="Y47" s="11">
        <f>IF(ISNUMBER(VLOOKUP("5.1.1.1",A4:Z106,25,FALSE)),ROUND(VLOOKUP("5.1.1.1",A4:Z106,25,FALSE),4),0) + IF(ISNUMBER(VLOOKUP("5.1.1.2",A4:Z106,25,FALSE)),ROUND(VLOOKUP("5.1.1.2",A4:Z106,25,FALSE),4),0) + IF(ISNUMBER(VLOOKUP("5.1.1.3",A4:Z106,25,FALSE)),ROUND(VLOOKUP("5.1.1.3",A4:Z106,25,FALSE),4),0) + IF(ISNA(VLOOKUP("5.1.1.4",A4:Z106,25,FALSE)),0,ROUND(VLOOKUP("5.1.1.4",A4:Z106,25,FALSE),4))</f>
        <v>0</v>
      </c>
      <c r="Z47" s="11">
        <f>IF(ISNUMBER(VLOOKUP("5.1.1.1",A4:Z106,26,FALSE)),ROUND(VLOOKUP("5.1.1.1",A4:Z106,26,FALSE),4),0) + IF(ISNUMBER(VLOOKUP("5.1.1.2",A4:Z106,26,FALSE)),ROUND(VLOOKUP("5.1.1.2",A4:Z106,26,FALSE),4),0) + IF(ISNUMBER(VLOOKUP("5.1.1.3",A4:Z106,26,FALSE)),ROUND(VLOOKUP("5.1.1.3",A4:Z106,26,FALSE),4),0) + IF(ISNA(VLOOKUP("5.1.1.4",A4:Z106,26,FALSE)),0,ROUND(VLOOKUP("5.1.1.4",A4:Z106,26,FALSE),4))</f>
        <v>0</v>
      </c>
    </row>
    <row r="48" spans="1:26" ht="27" customHeight="1" x14ac:dyDescent="0.3">
      <c r="A48" s="6" t="s">
        <v>107</v>
      </c>
      <c r="B48" s="7" t="s">
        <v>108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</row>
    <row r="49" spans="1:26" ht="27" customHeight="1" x14ac:dyDescent="0.3">
      <c r="A49" s="6" t="s">
        <v>109</v>
      </c>
      <c r="B49" s="7" t="s">
        <v>110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</row>
    <row r="50" spans="1:26" ht="27" customHeight="1" x14ac:dyDescent="0.3">
      <c r="A50" s="6" t="s">
        <v>111</v>
      </c>
      <c r="B50" s="7" t="s">
        <v>112</v>
      </c>
      <c r="C50" s="10">
        <f>IF(ISNUMBER(VLOOKUP("5.1.1.3.1",A4:Z106,3,FALSE)),ROUND(VLOOKUP("5.1.1.3.1",A4:Z106,3,FALSE),4),0) + IF(ISNUMBER(VLOOKUP("5.1.1.3.2",A4:Z106,3,FALSE)),ROUND(VLOOKUP("5.1.1.3.2",A4:Z106,3,FALSE),4),0) + IF(ISNUMBER(VLOOKUP("5.1.1.3.3",A4:Z106,3,FALSE)),ROUND(VLOOKUP("5.1.1.3.3",A4:Z106,3,FALSE),4),0)</f>
        <v>0</v>
      </c>
      <c r="D50" s="10">
        <f>IF(ISNUMBER(VLOOKUP("5.1.1.3.1",A4:Z106,4,FALSE)),ROUND(VLOOKUP("5.1.1.3.1",A4:Z106,4,FALSE),4),0) + IF(ISNUMBER(VLOOKUP("5.1.1.3.2",A4:Z106,4,FALSE)),ROUND(VLOOKUP("5.1.1.3.2",A4:Z106,4,FALSE),4),0) + IF(ISNUMBER(VLOOKUP("5.1.1.3.3",A4:Z106,4,FALSE)),ROUND(VLOOKUP("5.1.1.3.3",A4:Z106,4,FALSE),4),0)</f>
        <v>0</v>
      </c>
      <c r="E50" s="10">
        <f>IF(ISNUMBER(VLOOKUP("5.1.1.3.1",A4:Z106,5,FALSE)),ROUND(VLOOKUP("5.1.1.3.1",A4:Z106,5,FALSE),4),0) + IF(ISNUMBER(VLOOKUP("5.1.1.3.2",A4:Z106,5,FALSE)),ROUND(VLOOKUP("5.1.1.3.2",A4:Z106,5,FALSE),4),0) + IF(ISNUMBER(VLOOKUP("5.1.1.3.3",A4:Z106,5,FALSE)),ROUND(VLOOKUP("5.1.1.3.3",A4:Z106,5,FALSE),4),0)</f>
        <v>0</v>
      </c>
      <c r="F50" s="10">
        <f>IF(ISNUMBER(VLOOKUP("5.1.1.3.1",A4:Z106,6,FALSE)),ROUND(VLOOKUP("5.1.1.3.1",A4:Z106,6,FALSE),4),0) + IF(ISNUMBER(VLOOKUP("5.1.1.3.2",A4:Z106,6,FALSE)),ROUND(VLOOKUP("5.1.1.3.2",A4:Z106,6,FALSE),4),0) + IF(ISNUMBER(VLOOKUP("5.1.1.3.3",A4:Z106,6,FALSE)),ROUND(VLOOKUP("5.1.1.3.3",A4:Z106,6,FALSE),4),0)</f>
        <v>0</v>
      </c>
      <c r="G50" s="10">
        <f>IF(ISNUMBER(VLOOKUP("5.1.1.3.1",A4:Z106,7,FALSE)),ROUND(VLOOKUP("5.1.1.3.1",A4:Z106,7,FALSE),4),0) + IF(ISNUMBER(VLOOKUP("5.1.1.3.2",A4:Z106,7,FALSE)),ROUND(VLOOKUP("5.1.1.3.2",A4:Z106,7,FALSE),4),0) + IF(ISNUMBER(VLOOKUP("5.1.1.3.3",A4:Z106,7,FALSE)),ROUND(VLOOKUP("5.1.1.3.3",A4:Z106,7,FALSE),4),0)</f>
        <v>0</v>
      </c>
      <c r="H50" s="10">
        <f>IF(ISNUMBER(VLOOKUP("5.1.1.3.1",A4:Z106,8,FALSE)),ROUND(VLOOKUP("5.1.1.3.1",A4:Z106,8,FALSE),4),0) + IF(ISNUMBER(VLOOKUP("5.1.1.3.2",A4:Z106,8,FALSE)),ROUND(VLOOKUP("5.1.1.3.2",A4:Z106,8,FALSE),4),0) + IF(ISNUMBER(VLOOKUP("5.1.1.3.3",A4:Z106,8,FALSE)),ROUND(VLOOKUP("5.1.1.3.3",A4:Z106,8,FALSE),4),0)</f>
        <v>0</v>
      </c>
      <c r="I50" s="10">
        <f>IF(ISNUMBER(VLOOKUP("5.1.1.3.1",A4:Z106,9,FALSE)),ROUND(VLOOKUP("5.1.1.3.1",A4:Z106,9,FALSE),4),0) + IF(ISNUMBER(VLOOKUP("5.1.1.3.2",A4:Z106,9,FALSE)),ROUND(VLOOKUP("5.1.1.3.2",A4:Z106,9,FALSE),4),0) + IF(ISNUMBER(VLOOKUP("5.1.1.3.3",A4:Z106,9,FALSE)),ROUND(VLOOKUP("5.1.1.3.3",A4:Z106,9,FALSE),4),0)</f>
        <v>0</v>
      </c>
      <c r="J50" s="10">
        <f>IF(ISNUMBER(VLOOKUP("5.1.1.3.1",A4:Z106,10,FALSE)),ROUND(VLOOKUP("5.1.1.3.1",A4:Z106,10,FALSE),4),0) + IF(ISNUMBER(VLOOKUP("5.1.1.3.2",A4:Z106,10,FALSE)),ROUND(VLOOKUP("5.1.1.3.2",A4:Z106,10,FALSE),4),0) + IF(ISNUMBER(VLOOKUP("5.1.1.3.3",A4:Z106,10,FALSE)),ROUND(VLOOKUP("5.1.1.3.3",A4:Z106,10,FALSE),4),0)</f>
        <v>0</v>
      </c>
      <c r="K50" s="11">
        <f>IF(ISNUMBER(VLOOKUP("5.1.1.3.1",A4:Z106,11,FALSE)),ROUND(VLOOKUP("5.1.1.3.1",A4:Z106,11,FALSE),4),0) + IF(ISNUMBER(VLOOKUP("5.1.1.3.2",A4:Z106,11,FALSE)),ROUND(VLOOKUP("5.1.1.3.2",A4:Z106,11,FALSE),4),0) + IF(ISNUMBER(VLOOKUP("5.1.1.3.3",A4:Z106,11,FALSE)),ROUND(VLOOKUP("5.1.1.3.3",A4:Z106,11,FALSE),4),0)</f>
        <v>0</v>
      </c>
      <c r="L50" s="11">
        <f>IF(ISNUMBER(VLOOKUP("5.1.1.3.1",A4:Z106,12,FALSE)),ROUND(VLOOKUP("5.1.1.3.1",A4:Z106,12,FALSE),4),0) + IF(ISNUMBER(VLOOKUP("5.1.1.3.2",A4:Z106,12,FALSE)),ROUND(VLOOKUP("5.1.1.3.2",A4:Z106,12,FALSE),4),0) + IF(ISNUMBER(VLOOKUP("5.1.1.3.3",A4:Z106,12,FALSE)),ROUND(VLOOKUP("5.1.1.3.3",A4:Z106,12,FALSE),4),0)</f>
        <v>0</v>
      </c>
      <c r="M50" s="11">
        <f>IF(ISNUMBER(VLOOKUP("5.1.1.3.1",A4:Z106,13,FALSE)),ROUND(VLOOKUP("5.1.1.3.1",A4:Z106,13,FALSE),4),0) + IF(ISNUMBER(VLOOKUP("5.1.1.3.2",A4:Z106,13,FALSE)),ROUND(VLOOKUP("5.1.1.3.2",A4:Z106,13,FALSE),4),0) + IF(ISNUMBER(VLOOKUP("5.1.1.3.3",A4:Z106,13,FALSE)),ROUND(VLOOKUP("5.1.1.3.3",A4:Z106,13,FALSE),4),0)</f>
        <v>0</v>
      </c>
      <c r="N50" s="11">
        <f>IF(ISNUMBER(VLOOKUP("5.1.1.3.1",A4:Z106,14,FALSE)),ROUND(VLOOKUP("5.1.1.3.1",A4:Z106,14,FALSE),4),0) + IF(ISNUMBER(VLOOKUP("5.1.1.3.2",A4:Z106,14,FALSE)),ROUND(VLOOKUP("5.1.1.3.2",A4:Z106,14,FALSE),4),0) + IF(ISNUMBER(VLOOKUP("5.1.1.3.3",A4:Z106,14,FALSE)),ROUND(VLOOKUP("5.1.1.3.3",A4:Z106,14,FALSE),4),0)</f>
        <v>0</v>
      </c>
      <c r="O50" s="11">
        <f>IF(ISNUMBER(VLOOKUP("5.1.1.3.1",A4:Z106,15,FALSE)),ROUND(VLOOKUP("5.1.1.3.1",A4:Z106,15,FALSE),4),0) + IF(ISNUMBER(VLOOKUP("5.1.1.3.2",A4:Z106,15,FALSE)),ROUND(VLOOKUP("5.1.1.3.2",A4:Z106,15,FALSE),4),0) + IF(ISNUMBER(VLOOKUP("5.1.1.3.3",A4:Z106,15,FALSE)),ROUND(VLOOKUP("5.1.1.3.3",A4:Z106,15,FALSE),4),0)</f>
        <v>0</v>
      </c>
      <c r="P50" s="11">
        <f>IF(ISNUMBER(VLOOKUP("5.1.1.3.1",A4:Z106,16,FALSE)),ROUND(VLOOKUP("5.1.1.3.1",A4:Z106,16,FALSE),4),0) + IF(ISNUMBER(VLOOKUP("5.1.1.3.2",A4:Z106,16,FALSE)),ROUND(VLOOKUP("5.1.1.3.2",A4:Z106,16,FALSE),4),0) + IF(ISNUMBER(VLOOKUP("5.1.1.3.3",A4:Z106,16,FALSE)),ROUND(VLOOKUP("5.1.1.3.3",A4:Z106,16,FALSE),4),0)</f>
        <v>0</v>
      </c>
      <c r="Q50" s="11">
        <f>IF(ISNUMBER(VLOOKUP("5.1.1.3.1",A4:Z106,17,FALSE)),ROUND(VLOOKUP("5.1.1.3.1",A4:Z106,17,FALSE),4),0) + IF(ISNUMBER(VLOOKUP("5.1.1.3.2",A4:Z106,17,FALSE)),ROUND(VLOOKUP("5.1.1.3.2",A4:Z106,17,FALSE),4),0) + IF(ISNUMBER(VLOOKUP("5.1.1.3.3",A4:Z106,17,FALSE)),ROUND(VLOOKUP("5.1.1.3.3",A4:Z106,17,FALSE),4),0)</f>
        <v>0</v>
      </c>
      <c r="R50" s="11">
        <f>IF(ISNUMBER(VLOOKUP("5.1.1.3.1",A4:Z106,18,FALSE)),ROUND(VLOOKUP("5.1.1.3.1",A4:Z106,18,FALSE),4),0) + IF(ISNUMBER(VLOOKUP("5.1.1.3.2",A4:Z106,18,FALSE)),ROUND(VLOOKUP("5.1.1.3.2",A4:Z106,18,FALSE),4),0) + IF(ISNUMBER(VLOOKUP("5.1.1.3.3",A4:Z106,18,FALSE)),ROUND(VLOOKUP("5.1.1.3.3",A4:Z106,18,FALSE),4),0)</f>
        <v>0</v>
      </c>
      <c r="S50" s="11">
        <f>IF(ISNUMBER(VLOOKUP("5.1.1.3.1",A4:Z106,19,FALSE)),ROUND(VLOOKUP("5.1.1.3.1",A4:Z106,19,FALSE),4),0) + IF(ISNUMBER(VLOOKUP("5.1.1.3.2",A4:Z106,19,FALSE)),ROUND(VLOOKUP("5.1.1.3.2",A4:Z106,19,FALSE),4),0) + IF(ISNUMBER(VLOOKUP("5.1.1.3.3",A4:Z106,19,FALSE)),ROUND(VLOOKUP("5.1.1.3.3",A4:Z106,19,FALSE),4),0)</f>
        <v>0</v>
      </c>
      <c r="T50" s="11">
        <f>IF(ISNUMBER(VLOOKUP("5.1.1.3.1",A4:Z106,20,FALSE)),ROUND(VLOOKUP("5.1.1.3.1",A4:Z106,20,FALSE),4),0) + IF(ISNUMBER(VLOOKUP("5.1.1.3.2",A4:Z106,20,FALSE)),ROUND(VLOOKUP("5.1.1.3.2",A4:Z106,20,FALSE),4),0) + IF(ISNUMBER(VLOOKUP("5.1.1.3.3",A4:Z106,20,FALSE)),ROUND(VLOOKUP("5.1.1.3.3",A4:Z106,20,FALSE),4),0)</f>
        <v>0</v>
      </c>
      <c r="U50" s="11">
        <f>IF(ISNUMBER(VLOOKUP("5.1.1.3.1",A4:Z106,21,FALSE)),ROUND(VLOOKUP("5.1.1.3.1",A4:Z106,21,FALSE),4),0) + IF(ISNUMBER(VLOOKUP("5.1.1.3.2",A4:Z106,21,FALSE)),ROUND(VLOOKUP("5.1.1.3.2",A4:Z106,21,FALSE),4),0) + IF(ISNUMBER(VLOOKUP("5.1.1.3.3",A4:Z106,21,FALSE)),ROUND(VLOOKUP("5.1.1.3.3",A4:Z106,21,FALSE),4),0)</f>
        <v>0</v>
      </c>
      <c r="V50" s="11">
        <f>IF(ISNUMBER(VLOOKUP("5.1.1.3.1",A4:Z106,22,FALSE)),ROUND(VLOOKUP("5.1.1.3.1",A4:Z106,22,FALSE),4),0) + IF(ISNUMBER(VLOOKUP("5.1.1.3.2",A4:Z106,22,FALSE)),ROUND(VLOOKUP("5.1.1.3.2",A4:Z106,22,FALSE),4),0) + IF(ISNUMBER(VLOOKUP("5.1.1.3.3",A4:Z106,22,FALSE)),ROUND(VLOOKUP("5.1.1.3.3",A4:Z106,22,FALSE),4),0)</f>
        <v>0</v>
      </c>
      <c r="W50" s="11">
        <f>IF(ISNUMBER(VLOOKUP("5.1.1.3.1",A4:Z106,23,FALSE)),ROUND(VLOOKUP("5.1.1.3.1",A4:Z106,23,FALSE),4),0) + IF(ISNUMBER(VLOOKUP("5.1.1.3.2",A4:Z106,23,FALSE)),ROUND(VLOOKUP("5.1.1.3.2",A4:Z106,23,FALSE),4),0) + IF(ISNUMBER(VLOOKUP("5.1.1.3.3",A4:Z106,23,FALSE)),ROUND(VLOOKUP("5.1.1.3.3",A4:Z106,23,FALSE),4),0)</f>
        <v>0</v>
      </c>
      <c r="X50" s="11">
        <f>IF(ISNUMBER(VLOOKUP("5.1.1.3.1",A4:Z106,24,FALSE)),ROUND(VLOOKUP("5.1.1.3.1",A4:Z106,24,FALSE),4),0) + IF(ISNUMBER(VLOOKUP("5.1.1.3.2",A4:Z106,24,FALSE)),ROUND(VLOOKUP("5.1.1.3.2",A4:Z106,24,FALSE),4),0) + IF(ISNUMBER(VLOOKUP("5.1.1.3.3",A4:Z106,24,FALSE)),ROUND(VLOOKUP("5.1.1.3.3",A4:Z106,24,FALSE),4),0)</f>
        <v>0</v>
      </c>
      <c r="Y50" s="11">
        <f>IF(ISNUMBER(VLOOKUP("5.1.1.3.1",A4:Z106,25,FALSE)),ROUND(VLOOKUP("5.1.1.3.1",A4:Z106,25,FALSE),4),0) + IF(ISNUMBER(VLOOKUP("5.1.1.3.2",A4:Z106,25,FALSE)),ROUND(VLOOKUP("5.1.1.3.2",A4:Z106,25,FALSE),4),0) + IF(ISNUMBER(VLOOKUP("5.1.1.3.3",A4:Z106,25,FALSE)),ROUND(VLOOKUP("5.1.1.3.3",A4:Z106,25,FALSE),4),0)</f>
        <v>0</v>
      </c>
      <c r="Z50" s="11">
        <f>IF(ISNUMBER(VLOOKUP("5.1.1.3.1",A4:Z106,26,FALSE)),ROUND(VLOOKUP("5.1.1.3.1",A4:Z106,26,FALSE),4),0) + IF(ISNUMBER(VLOOKUP("5.1.1.3.2",A4:Z106,26,FALSE)),ROUND(VLOOKUP("5.1.1.3.2",A4:Z106,26,FALSE),4),0) + IF(ISNUMBER(VLOOKUP("5.1.1.3.3",A4:Z106,26,FALSE)),ROUND(VLOOKUP("5.1.1.3.3",A4:Z106,26,FALSE),4),0)</f>
        <v>0</v>
      </c>
    </row>
    <row r="51" spans="1:26" ht="14.25" customHeight="1" x14ac:dyDescent="0.3">
      <c r="A51" s="6" t="s">
        <v>113</v>
      </c>
      <c r="B51" s="7" t="s">
        <v>114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</row>
    <row r="52" spans="1:26" ht="27" customHeight="1" x14ac:dyDescent="0.3">
      <c r="A52" s="6" t="s">
        <v>115</v>
      </c>
      <c r="B52" s="7" t="s">
        <v>116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</row>
    <row r="53" spans="1:26" ht="14.25" customHeight="1" x14ac:dyDescent="0.3">
      <c r="A53" s="6" t="s">
        <v>117</v>
      </c>
      <c r="B53" s="7" t="s">
        <v>118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</row>
    <row r="54" spans="1:26" ht="27" customHeight="1" x14ac:dyDescent="0.3">
      <c r="A54" s="6" t="s">
        <v>119</v>
      </c>
      <c r="B54" s="7" t="s">
        <v>120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</row>
    <row r="55" spans="1:26" ht="14.25" customHeight="1" x14ac:dyDescent="0.3">
      <c r="A55" s="2" t="s">
        <v>121</v>
      </c>
      <c r="B55" s="3" t="s">
        <v>122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</row>
    <row r="56" spans="1:26" ht="14.25" customHeight="1" x14ac:dyDescent="0.3">
      <c r="A56" s="2" t="s">
        <v>123</v>
      </c>
      <c r="B56" s="3" t="s">
        <v>124</v>
      </c>
      <c r="C56" s="4">
        <v>0</v>
      </c>
      <c r="D56" s="4">
        <v>41900000</v>
      </c>
      <c r="E56" s="4">
        <v>46500000</v>
      </c>
      <c r="F56" s="4">
        <v>49700000</v>
      </c>
      <c r="G56" s="4">
        <v>53700000</v>
      </c>
      <c r="H56" s="4">
        <v>66700000</v>
      </c>
      <c r="I56" s="4">
        <v>73480979.609999999</v>
      </c>
      <c r="J56" s="4">
        <v>73480979.609999999</v>
      </c>
      <c r="K56" s="5">
        <v>77646626.400000006</v>
      </c>
      <c r="L56" s="5">
        <v>73425526.400000006</v>
      </c>
      <c r="M56" s="5">
        <v>69022594.609999999</v>
      </c>
      <c r="N56" s="5">
        <v>65085309.609999999</v>
      </c>
      <c r="O56" s="5">
        <v>59585309.609999999</v>
      </c>
      <c r="P56" s="5">
        <v>54085309.609999999</v>
      </c>
      <c r="Q56" s="5">
        <v>50085309.609999999</v>
      </c>
      <c r="R56" s="5">
        <v>46085309.609999999</v>
      </c>
      <c r="S56" s="5">
        <v>42585309.609999999</v>
      </c>
      <c r="T56" s="5">
        <v>39085309.609999999</v>
      </c>
      <c r="U56" s="5">
        <v>31085309.609999999</v>
      </c>
      <c r="V56" s="5">
        <v>24085309.609999999</v>
      </c>
      <c r="W56" s="5">
        <v>20085309.609999999</v>
      </c>
      <c r="X56" s="5">
        <v>13085309.609999999</v>
      </c>
      <c r="Y56" s="5">
        <v>7085309.6100000003</v>
      </c>
      <c r="Z56" s="5">
        <v>0</v>
      </c>
    </row>
    <row r="57" spans="1:26" ht="27" customHeight="1" x14ac:dyDescent="0.3">
      <c r="A57" s="6" t="s">
        <v>125</v>
      </c>
      <c r="B57" s="7" t="s">
        <v>126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</row>
    <row r="58" spans="1:26" ht="27" customHeight="1" x14ac:dyDescent="0.3">
      <c r="A58" s="2" t="s">
        <v>127</v>
      </c>
      <c r="B58" s="3" t="s">
        <v>128</v>
      </c>
      <c r="C58" s="25" t="s">
        <v>129</v>
      </c>
      <c r="D58" s="25" t="s">
        <v>129</v>
      </c>
      <c r="E58" s="25" t="s">
        <v>129</v>
      </c>
      <c r="F58" s="25" t="s">
        <v>129</v>
      </c>
      <c r="G58" s="25" t="s">
        <v>129</v>
      </c>
      <c r="H58" s="25" t="s">
        <v>129</v>
      </c>
      <c r="I58" s="25" t="s">
        <v>129</v>
      </c>
      <c r="J58" s="25" t="s">
        <v>129</v>
      </c>
      <c r="K58" s="26" t="s">
        <v>129</v>
      </c>
      <c r="L58" s="26" t="s">
        <v>129</v>
      </c>
      <c r="M58" s="26" t="s">
        <v>129</v>
      </c>
      <c r="N58" s="26" t="s">
        <v>129</v>
      </c>
      <c r="O58" s="26" t="s">
        <v>129</v>
      </c>
      <c r="P58" s="26" t="s">
        <v>129</v>
      </c>
      <c r="Q58" s="26" t="s">
        <v>129</v>
      </c>
      <c r="R58" s="26" t="s">
        <v>129</v>
      </c>
      <c r="S58" s="26" t="s">
        <v>129</v>
      </c>
      <c r="T58" s="26" t="s">
        <v>129</v>
      </c>
      <c r="U58" s="26" t="s">
        <v>129</v>
      </c>
      <c r="V58" s="26" t="s">
        <v>129</v>
      </c>
      <c r="W58" s="26" t="s">
        <v>129</v>
      </c>
      <c r="X58" s="26" t="s">
        <v>129</v>
      </c>
      <c r="Y58" s="26" t="s">
        <v>129</v>
      </c>
      <c r="Z58" s="26" t="s">
        <v>129</v>
      </c>
    </row>
    <row r="59" spans="1:26" ht="27" customHeight="1" x14ac:dyDescent="0.3">
      <c r="A59" s="6" t="s">
        <v>130</v>
      </c>
      <c r="B59" s="7" t="s">
        <v>131</v>
      </c>
      <c r="C59" s="10">
        <f>IF(ISNUMBER(VLOOKUP("1.1",A4:Z106,3,FALSE)),ROUND(VLOOKUP("1.1",A4:Z106,3,FALSE),4),0) - IF(ISNUMBER(VLOOKUP("2.1",A4:Z106,3,FALSE)),ROUND(VLOOKUP("2.1",A4:Z106,3,FALSE),4),0)</f>
        <v>7132949.25</v>
      </c>
      <c r="D59" s="10">
        <f>IF(ISNUMBER(VLOOKUP("1.1",A4:Z106,4,FALSE)),ROUND(VLOOKUP("1.1",A4:Z106,4,FALSE),4),0) - IF(ISNUMBER(VLOOKUP("2.1",A4:Z106,4,FALSE)),ROUND(VLOOKUP("2.1",A4:Z106,4,FALSE),4),0)</f>
        <v>7362588.2400000095</v>
      </c>
      <c r="E59" s="10">
        <f>IF(ISNUMBER(VLOOKUP("1.1",A4:Z106,5,FALSE)),ROUND(VLOOKUP("1.1",A4:Z106,5,FALSE),4),0) - IF(ISNUMBER(VLOOKUP("2.1",A4:Z106,5,FALSE)),ROUND(VLOOKUP("2.1",A4:Z106,5,FALSE),4),0)</f>
        <v>10663838.680000007</v>
      </c>
      <c r="F59" s="10">
        <f>IF(ISNUMBER(VLOOKUP("1.1",A4:Z106,6,FALSE)),ROUND(VLOOKUP("1.1",A4:Z106,6,FALSE),4),0) - IF(ISNUMBER(VLOOKUP("2.1",A4:Z106,6,FALSE)),ROUND(VLOOKUP("2.1",A4:Z106,6,FALSE),4),0)</f>
        <v>10266669.789999992</v>
      </c>
      <c r="G59" s="10">
        <f>IF(ISNUMBER(VLOOKUP("1.1",A4:Z106,7,FALSE)),ROUND(VLOOKUP("1.1",A4:Z106,7,FALSE),4),0) - IF(ISNUMBER(VLOOKUP("2.1",A4:Z106,7,FALSE)),ROUND(VLOOKUP("2.1",A4:Z106,7,FALSE),4),0)</f>
        <v>5445222.7400000095</v>
      </c>
      <c r="H59" s="10">
        <f>IF(ISNUMBER(VLOOKUP("1.1",A4:Z106,8,FALSE)),ROUND(VLOOKUP("1.1",A4:Z106,8,FALSE),4),0) - IF(ISNUMBER(VLOOKUP("2.1",A4:Z106,8,FALSE)),ROUND(VLOOKUP("2.1",A4:Z106,8,FALSE),4),0)</f>
        <v>-1072545.8999999911</v>
      </c>
      <c r="I59" s="10">
        <f>IF(ISNUMBER(VLOOKUP("1.1",A4:Z106,9,FALSE)),ROUND(VLOOKUP("1.1",A4:Z106,9,FALSE),4),0) - IF(ISNUMBER(VLOOKUP("2.1",A4:Z106,9,FALSE)),ROUND(VLOOKUP("2.1",A4:Z106,9,FALSE),4),0)</f>
        <v>4181561.8900000006</v>
      </c>
      <c r="J59" s="10">
        <f>IF(ISNUMBER(VLOOKUP("1.1",A4:Z106,10,FALSE)),ROUND(VLOOKUP("1.1",A4:Z106,10,FALSE),4),0) - IF(ISNUMBER(VLOOKUP("2.1",A4:Z106,10,FALSE)),ROUND(VLOOKUP("2.1",A4:Z106,10,FALSE),4),0)</f>
        <v>14684814.859999999</v>
      </c>
      <c r="K59" s="11">
        <f>IF(ISNUMBER(VLOOKUP("1.1",A4:Z106,11,FALSE)),ROUND(VLOOKUP("1.1",A4:Z106,11,FALSE),4),0) - IF(ISNUMBER(VLOOKUP("2.1",A4:Z106,11,FALSE)),ROUND(VLOOKUP("2.1",A4:Z106,11,FALSE),4),0)</f>
        <v>8793624.299999997</v>
      </c>
      <c r="L59" s="11">
        <f>IF(ISNUMBER(VLOOKUP("1.1",A4:Z106,12,FALSE)),ROUND(VLOOKUP("1.1",A4:Z106,12,FALSE),4),0) - IF(ISNUMBER(VLOOKUP("2.1",A4:Z106,12,FALSE)),ROUND(VLOOKUP("2.1",A4:Z106,12,FALSE),4),0)</f>
        <v>10379059</v>
      </c>
      <c r="M59" s="11">
        <f>IF(ISNUMBER(VLOOKUP("1.1",A4:Z106,13,FALSE)),ROUND(VLOOKUP("1.1",A4:Z106,13,FALSE),4),0) - IF(ISNUMBER(VLOOKUP("2.1",A4:Z106,13,FALSE)),ROUND(VLOOKUP("2.1",A4:Z106,13,FALSE),4),0)</f>
        <v>11098832.790000007</v>
      </c>
      <c r="N59" s="11">
        <f>IF(ISNUMBER(VLOOKUP("1.1",A4:Z106,14,FALSE)),ROUND(VLOOKUP("1.1",A4:Z106,14,FALSE),4),0) - IF(ISNUMBER(VLOOKUP("2.1",A4:Z106,14,FALSE)),ROUND(VLOOKUP("2.1",A4:Z106,14,FALSE),4),0)</f>
        <v>11290024</v>
      </c>
      <c r="O59" s="11">
        <f>IF(ISNUMBER(VLOOKUP("1.1",A4:Z106,15,FALSE)),ROUND(VLOOKUP("1.1",A4:Z106,15,FALSE),4),0) - IF(ISNUMBER(VLOOKUP("2.1",A4:Z106,15,FALSE)),ROUND(VLOOKUP("2.1",A4:Z106,15,FALSE),4),0)</f>
        <v>14400265</v>
      </c>
      <c r="P59" s="11">
        <f>IF(ISNUMBER(VLOOKUP("1.1",A4:Z106,16,FALSE)),ROUND(VLOOKUP("1.1",A4:Z106,16,FALSE),4),0) - IF(ISNUMBER(VLOOKUP("2.1",A4:Z106,16,FALSE)),ROUND(VLOOKUP("2.1",A4:Z106,16,FALSE),4),0)</f>
        <v>15124005</v>
      </c>
      <c r="Q59" s="11">
        <f>IF(ISNUMBER(VLOOKUP("1.1",A4:Z106,17,FALSE)),ROUND(VLOOKUP("1.1",A4:Z106,17,FALSE),4),0) - IF(ISNUMBER(VLOOKUP("2.1",A4:Z106,17,FALSE)),ROUND(VLOOKUP("2.1",A4:Z106,17,FALSE),4),0)</f>
        <v>13803543</v>
      </c>
      <c r="R59" s="11">
        <f>IF(ISNUMBER(VLOOKUP("1.1",A4:Z106,18,FALSE)),ROUND(VLOOKUP("1.1",A4:Z106,18,FALSE),4),0) - IF(ISNUMBER(VLOOKUP("2.1",A4:Z106,18,FALSE)),ROUND(VLOOKUP("2.1",A4:Z106,18,FALSE),4),0)</f>
        <v>14400905</v>
      </c>
      <c r="S59" s="11">
        <f>IF(ISNUMBER(VLOOKUP("1.1",A4:Z106,19,FALSE)),ROUND(VLOOKUP("1.1",A4:Z106,19,FALSE),4),0) - IF(ISNUMBER(VLOOKUP("2.1",A4:Z106,19,FALSE)),ROUND(VLOOKUP("2.1",A4:Z106,19,FALSE),4),0)</f>
        <v>15020292</v>
      </c>
      <c r="T59" s="11">
        <f>IF(ISNUMBER(VLOOKUP("1.1",A4:Z106,20,FALSE)),ROUND(VLOOKUP("1.1",A4:Z106,20,FALSE),4),0) - IF(ISNUMBER(VLOOKUP("2.1",A4:Z106,20,FALSE)),ROUND(VLOOKUP("2.1",A4:Z106,20,FALSE),4),0)</f>
        <v>15681440</v>
      </c>
      <c r="U59" s="11">
        <f>IF(ISNUMBER(VLOOKUP("1.1",A4:Z106,21,FALSE)),ROUND(VLOOKUP("1.1",A4:Z106,21,FALSE),4),0) - IF(ISNUMBER(VLOOKUP("2.1",A4:Z106,21,FALSE)),ROUND(VLOOKUP("2.1",A4:Z106,21,FALSE),4),0)</f>
        <v>16386275</v>
      </c>
      <c r="V59" s="11">
        <f>IF(ISNUMBER(VLOOKUP("1.1",A4:Z106,22,FALSE)),ROUND(VLOOKUP("1.1",A4:Z106,22,FALSE),4),0) - IF(ISNUMBER(VLOOKUP("2.1",A4:Z106,22,FALSE)),ROUND(VLOOKUP("2.1",A4:Z106,22,FALSE),4),0)</f>
        <v>17174461</v>
      </c>
      <c r="W59" s="11">
        <f>IF(ISNUMBER(VLOOKUP("1.1",A4:Z106,23,FALSE)),ROUND(VLOOKUP("1.1",A4:Z106,23,FALSE),4),0) - IF(ISNUMBER(VLOOKUP("2.1",A4:Z106,23,FALSE)),ROUND(VLOOKUP("2.1",A4:Z106,23,FALSE),4),0)</f>
        <v>18002862</v>
      </c>
      <c r="X59" s="11">
        <f>IF(ISNUMBER(VLOOKUP("1.1",A4:Z106,24,FALSE)),ROUND(VLOOKUP("1.1",A4:Z106,24,FALSE),4),0) - IF(ISNUMBER(VLOOKUP("2.1",A4:Z106,24,FALSE)),ROUND(VLOOKUP("2.1",A4:Z106,24,FALSE),4),0)</f>
        <v>18985282</v>
      </c>
      <c r="Y59" s="11">
        <f>IF(ISNUMBER(VLOOKUP("1.1",A4:Z106,25,FALSE)),ROUND(VLOOKUP("1.1",A4:Z106,25,FALSE),4),0) - IF(ISNUMBER(VLOOKUP("2.1",A4:Z106,25,FALSE)),ROUND(VLOOKUP("2.1",A4:Z106,25,FALSE),4),0)</f>
        <v>20089747</v>
      </c>
      <c r="Z59" s="11">
        <f>IF(ISNUMBER(VLOOKUP("1.1",A4:Z106,26,FALSE)),ROUND(VLOOKUP("1.1",A4:Z106,26,FALSE),4),0) - IF(ISNUMBER(VLOOKUP("2.1",A4:Z106,26,FALSE)),ROUND(VLOOKUP("2.1",A4:Z106,26,FALSE),4),0)</f>
        <v>24663587</v>
      </c>
    </row>
    <row r="60" spans="1:26" ht="27" customHeight="1" x14ac:dyDescent="0.3">
      <c r="A60" s="6" t="s">
        <v>132</v>
      </c>
      <c r="B60" s="7" t="s">
        <v>133</v>
      </c>
      <c r="C60" s="10">
        <f>IF(ISNUMBER(VLOOKUP("1.1",A4:Z106,3,FALSE)),ROUND(VLOOKUP("1.1",A4:Z106,3,FALSE),4),0) - IF(ISNUMBER(VLOOKUP("2.1",A4:Z106,3,FALSE)),ROUND(VLOOKUP("2.1",A4:Z106,3,FALSE),4),0) + IF(ISNUMBER(VLOOKUP("4.2",A4:Z106,3,FALSE)),ROUND(VLOOKUP("4.2",A4:Z106,3,FALSE),4),0) + IF(ISNUMBER(VLOOKUP("4.3",A4:Z106,3,FALSE)),ROUND(VLOOKUP("4.3",A4:Z106,3,FALSE),4),0)</f>
        <v>7132949.25</v>
      </c>
      <c r="D60" s="10">
        <f>IF(ISNUMBER(VLOOKUP("1.1",A4:Z106,4,FALSE)),ROUND(VLOOKUP("1.1",A4:Z106,4,FALSE),4),0) - IF(ISNUMBER(VLOOKUP("2.1",A4:Z106,4,FALSE)),ROUND(VLOOKUP("2.1",A4:Z106,4,FALSE),4),0) + IF(ISNUMBER(VLOOKUP("4.2",A4:Z106,4,FALSE)),ROUND(VLOOKUP("4.2",A4:Z106,4,FALSE),4),0) + IF(ISNUMBER(VLOOKUP("4.3",A4:Z106,4,FALSE)),ROUND(VLOOKUP("4.3",A4:Z106,4,FALSE),4),0)</f>
        <v>7737990.4500000095</v>
      </c>
      <c r="E60" s="10">
        <f>IF(ISNUMBER(VLOOKUP("1.1",A4:Z106,5,FALSE)),ROUND(VLOOKUP("1.1",A4:Z106,5,FALSE),4),0) - IF(ISNUMBER(VLOOKUP("2.1",A4:Z106,5,FALSE)),ROUND(VLOOKUP("2.1",A4:Z106,5,FALSE),4),0) + IF(ISNUMBER(VLOOKUP("4.2",A4:Z106,5,FALSE)),ROUND(VLOOKUP("4.2",A4:Z106,5,FALSE),4),0) + IF(ISNUMBER(VLOOKUP("4.3",A4:Z106,5,FALSE)),ROUND(VLOOKUP("4.3",A4:Z106,5,FALSE),4),0)</f>
        <v>12490410.740000006</v>
      </c>
      <c r="F60" s="10">
        <f>IF(ISNUMBER(VLOOKUP("1.1",A4:Z106,6,FALSE)),ROUND(VLOOKUP("1.1",A4:Z106,6,FALSE),4),0) - IF(ISNUMBER(VLOOKUP("2.1",A4:Z106,6,FALSE)),ROUND(VLOOKUP("2.1",A4:Z106,6,FALSE),4),0) + IF(ISNUMBER(VLOOKUP("4.2",A4:Z106,6,FALSE)),ROUND(VLOOKUP("4.2",A4:Z106,6,FALSE),4),0) + IF(ISNUMBER(VLOOKUP("4.3",A4:Z106,6,FALSE)),ROUND(VLOOKUP("4.3",A4:Z106,6,FALSE),4),0)</f>
        <v>24987786.059999995</v>
      </c>
      <c r="G60" s="10">
        <f>IF(ISNUMBER(VLOOKUP("1.1",A4:Z106,7,FALSE)),ROUND(VLOOKUP("1.1",A4:Z106,7,FALSE),4),0) - IF(ISNUMBER(VLOOKUP("2.1",A4:Z106,7,FALSE)),ROUND(VLOOKUP("2.1",A4:Z106,7,FALSE),4),0) + IF(ISNUMBER(VLOOKUP("4.2",A4:Z106,7,FALSE)),ROUND(VLOOKUP("4.2",A4:Z106,7,FALSE),4),0) + IF(ISNUMBER(VLOOKUP("4.3",A4:Z106,7,FALSE)),ROUND(VLOOKUP("4.3",A4:Z106,7,FALSE),4),0) + IF(ISNUMBER(VLOOKUP("4.4",A4:Z106,7,FALSE)),ROUND(VLOOKUP("4.4",A4:Z106,7,FALSE),4),0)</f>
        <v>26680441.90000001</v>
      </c>
      <c r="H60" s="10">
        <f>IF(ISNUMBER(VLOOKUP("1.1",A4:Z106,8,FALSE)),ROUND(VLOOKUP("1.1",A4:Z106,8,FALSE),4),0) - IF(ISNUMBER(VLOOKUP("2.1",A4:Z106,8,FALSE)),ROUND(VLOOKUP("2.1",A4:Z106,8,FALSE),4),0) + IF(ISNUMBER(VLOOKUP("4.2",A4:Z106,8,FALSE)),ROUND(VLOOKUP("4.2",A4:Z106,8,FALSE),4),0) + IF(ISNUMBER(VLOOKUP("4.3",A4:Z106,8,FALSE)),ROUND(VLOOKUP("4.3",A4:Z106,8,FALSE),4),0) + IF(ISNUMBER(VLOOKUP("4.4",A4:Z106,8,FALSE)),ROUND(VLOOKUP("4.4",A4:Z106,8,FALSE),4),0)</f>
        <v>14863465.460000008</v>
      </c>
      <c r="I60" s="10">
        <f>IF(ISNUMBER(VLOOKUP("1.1",A4:Z106,9,FALSE)),ROUND(VLOOKUP("1.1",A4:Z106,9,FALSE),4),0) - IF(ISNUMBER(VLOOKUP("2.1",A4:Z106,9,FALSE)),ROUND(VLOOKUP("2.1",A4:Z106,9,FALSE),4),0) + IF(ISNUMBER(VLOOKUP("4.2",A4:Z106,9,FALSE)),ROUND(VLOOKUP("4.2",A4:Z106,9,FALSE),4),0) + IF(ISNUMBER(VLOOKUP("4.3",A4:Z106,9,FALSE)),ROUND(VLOOKUP("4.3",A4:Z106,9,FALSE),4),0) + IF(ISNUMBER(VLOOKUP("4.4",A4:Z106,9,FALSE)),ROUND(VLOOKUP("4.4",A4:Z106,9,FALSE),4),0)</f>
        <v>10033689.25</v>
      </c>
      <c r="J60" s="10">
        <f>IF(ISNUMBER(VLOOKUP("1.1",A4:Z106,10,FALSE)),ROUND(VLOOKUP("1.1",A4:Z106,10,FALSE),4),0) - IF(ISNUMBER(VLOOKUP("2.1",A4:Z106,10,FALSE)),ROUND(VLOOKUP("2.1",A4:Z106,10,FALSE),4),0) + IF(ISNUMBER(VLOOKUP("4.2",A4:Z106,10,FALSE)),ROUND(VLOOKUP("4.2",A4:Z106,10,FALSE),4),0) + IF(ISNUMBER(VLOOKUP("4.3",A4:Z106,10,FALSE)),ROUND(VLOOKUP("4.3",A4:Z106,10,FALSE),4),0) + IF(ISNUMBER(VLOOKUP("4.4",A4:Z106,10,FALSE)),ROUND(VLOOKUP("4.4",A4:Z106,10,FALSE),4),0)</f>
        <v>24776942.219999999</v>
      </c>
      <c r="K60" s="11">
        <f>IF(ISNUMBER(VLOOKUP("1.1",A4:Z106,11,FALSE)),ROUND(VLOOKUP("1.1",A4:Z106,11,FALSE),4),0) - IF(ISNUMBER(VLOOKUP("2.1",A4:Z106,11,FALSE)),ROUND(VLOOKUP("2.1",A4:Z106,11,FALSE),4),0) + IF(ISNUMBER(VLOOKUP("4.2",A4:Z106,11,FALSE)),ROUND(VLOOKUP("4.2",A4:Z106,11,FALSE),4),0) + IF(ISNUMBER(VLOOKUP("4.3",A4:Z106,11,FALSE)),ROUND(VLOOKUP("4.3",A4:Z106,11,FALSE),4),0) + IF(ISNUMBER(VLOOKUP("4.4",A4:Z106,11,FALSE)),ROUND(VLOOKUP("4.4",A4:Z106,11,FALSE),4),0)</f>
        <v>13887614.119999997</v>
      </c>
      <c r="L60" s="11">
        <f>IF(ISNUMBER(VLOOKUP("1.1",A4:Z106,12,FALSE)),ROUND(VLOOKUP("1.1",A4:Z106,12,FALSE),4),0) - IF(ISNUMBER(VLOOKUP("2.1",A4:Z106,12,FALSE)),ROUND(VLOOKUP("2.1",A4:Z106,12,FALSE),4),0) + IF(ISNUMBER(VLOOKUP("4.2",A4:Z106,12,FALSE)),ROUND(VLOOKUP("4.2",A4:Z106,12,FALSE),4),0) + IF(ISNUMBER(VLOOKUP("4.3",A4:Z106,12,FALSE)),ROUND(VLOOKUP("4.3",A4:Z106,12,FALSE),4),0) + IF(ISNUMBER(VLOOKUP("4.4",A4:Z106,12,FALSE)),ROUND(VLOOKUP("4.4",A4:Z106,12,FALSE),4),0)</f>
        <v>10379059</v>
      </c>
      <c r="M60" s="11">
        <f>IF(ISNUMBER(VLOOKUP("1.1",A4:Z106,13,FALSE)),ROUND(VLOOKUP("1.1",A4:Z106,13,FALSE),4),0) - IF(ISNUMBER(VLOOKUP("2.1",A4:Z106,13,FALSE)),ROUND(VLOOKUP("2.1",A4:Z106,13,FALSE),4),0) + IF(ISNUMBER(VLOOKUP("4.2",A4:Z106,13,FALSE)),ROUND(VLOOKUP("4.2",A4:Z106,13,FALSE),4),0) + IF(ISNUMBER(VLOOKUP("4.3",A4:Z106,13,FALSE)),ROUND(VLOOKUP("4.3",A4:Z106,13,FALSE),4),0) + IF(ISNUMBER(VLOOKUP("4.4",A4:Z106,13,FALSE)),ROUND(VLOOKUP("4.4",A4:Z106,13,FALSE),4),0)</f>
        <v>11098832.790000007</v>
      </c>
      <c r="N60" s="11">
        <f>IF(ISNUMBER(VLOOKUP("1.1",A4:Z106,14,FALSE)),ROUND(VLOOKUP("1.1",A4:Z106,14,FALSE),4),0) - IF(ISNUMBER(VLOOKUP("2.1",A4:Z106,14,FALSE)),ROUND(VLOOKUP("2.1",A4:Z106,14,FALSE),4),0) + IF(ISNUMBER(VLOOKUP("4.2",A4:Z106,14,FALSE)),ROUND(VLOOKUP("4.2",A4:Z106,14,FALSE),4),0) + IF(ISNUMBER(VLOOKUP("4.3",A4:Z106,14,FALSE)),ROUND(VLOOKUP("4.3",A4:Z106,14,FALSE),4),0) + IF(ISNUMBER(VLOOKUP("4.4",A4:Z106,14,FALSE)),ROUND(VLOOKUP("4.4",A4:Z106,14,FALSE),4),0)</f>
        <v>11290024</v>
      </c>
      <c r="O60" s="11">
        <f>IF(ISNUMBER(VLOOKUP("1.1",A4:Z106,15,FALSE)),ROUND(VLOOKUP("1.1",A4:Z106,15,FALSE),4),0) - IF(ISNUMBER(VLOOKUP("2.1",A4:Z106,15,FALSE)),ROUND(VLOOKUP("2.1",A4:Z106,15,FALSE),4),0) + IF(ISNUMBER(VLOOKUP("4.2",A4:Z106,15,FALSE)),ROUND(VLOOKUP("4.2",A4:Z106,15,FALSE),4),0) + IF(ISNUMBER(VLOOKUP("4.3",A4:Z106,15,FALSE)),ROUND(VLOOKUP("4.3",A4:Z106,15,FALSE),4),0) + IF(ISNUMBER(VLOOKUP("4.4",A4:Z106,15,FALSE)),ROUND(VLOOKUP("4.4",A4:Z106,15,FALSE),4),0)</f>
        <v>14400265</v>
      </c>
      <c r="P60" s="11">
        <f>IF(ISNUMBER(VLOOKUP("1.1",A4:Z106,16,FALSE)),ROUND(VLOOKUP("1.1",A4:Z106,16,FALSE),4),0) - IF(ISNUMBER(VLOOKUP("2.1",A4:Z106,16,FALSE)),ROUND(VLOOKUP("2.1",A4:Z106,16,FALSE),4),0) + IF(ISNUMBER(VLOOKUP("4.2",A4:Z106,16,FALSE)),ROUND(VLOOKUP("4.2",A4:Z106,16,FALSE),4),0) + IF(ISNUMBER(VLOOKUP("4.4",A4:Z106,16,FALSE)),ROUND(VLOOKUP("4.4",A4:Z106,16,FALSE),4),0)</f>
        <v>15124005</v>
      </c>
      <c r="Q60" s="11">
        <f>IF(ISNUMBER(VLOOKUP("1.1",A4:Z106,17,FALSE)),ROUND(VLOOKUP("1.1",A4:Z106,17,FALSE),4),0) - IF(ISNUMBER(VLOOKUP("2.1",A4:Z106,17,FALSE)),ROUND(VLOOKUP("2.1",A4:Z106,17,FALSE),4),0) + IF(ISNUMBER(VLOOKUP("4.2",A4:Z106,17,FALSE)),ROUND(VLOOKUP("4.2",A4:Z106,17,FALSE),4),0) + IF(ISNUMBER(VLOOKUP("4.4",A4:Z106,17,FALSE)),ROUND(VLOOKUP("4.4",A4:Z106,17,FALSE),4),0)</f>
        <v>13803543</v>
      </c>
      <c r="R60" s="11">
        <f>IF(ISNUMBER(VLOOKUP("1.1",A4:Z106,18,FALSE)),ROUND(VLOOKUP("1.1",A4:Z106,18,FALSE),4),0) - IF(ISNUMBER(VLOOKUP("2.1",A4:Z106,18,FALSE)),ROUND(VLOOKUP("2.1",A4:Z106,18,FALSE),4),0) + IF(ISNUMBER(VLOOKUP("4.2",A4:Z106,18,FALSE)),ROUND(VLOOKUP("4.2",A4:Z106,18,FALSE),4),0) + IF(ISNUMBER(VLOOKUP("4.4",A4:Z106,18,FALSE)),ROUND(VLOOKUP("4.4",A4:Z106,18,FALSE),4),0)</f>
        <v>14400905</v>
      </c>
      <c r="S60" s="11">
        <f>IF(ISNUMBER(VLOOKUP("1.1",A4:Z106,19,FALSE)),ROUND(VLOOKUP("1.1",A4:Z106,19,FALSE),4),0) - IF(ISNUMBER(VLOOKUP("2.1",A4:Z106,19,FALSE)),ROUND(VLOOKUP("2.1",A4:Z106,19,FALSE),4),0) + IF(ISNUMBER(VLOOKUP("4.2",A4:Z106,19,FALSE)),ROUND(VLOOKUP("4.2",A4:Z106,19,FALSE),4),0) + IF(ISNUMBER(VLOOKUP("4.4",A4:Z106,19,FALSE)),ROUND(VLOOKUP("4.4",A4:Z106,19,FALSE),4),0)</f>
        <v>15020292</v>
      </c>
      <c r="T60" s="11">
        <f>IF(ISNUMBER(VLOOKUP("1.1",A4:Z106,20,FALSE)),ROUND(VLOOKUP("1.1",A4:Z106,20,FALSE),4),0) - IF(ISNUMBER(VLOOKUP("2.1",A4:Z106,20,FALSE)),ROUND(VLOOKUP("2.1",A4:Z106,20,FALSE),4),0) + IF(ISNUMBER(VLOOKUP("4.2",A4:Z106,20,FALSE)),ROUND(VLOOKUP("4.2",A4:Z106,20,FALSE),4),0) + IF(ISNUMBER(VLOOKUP("4.4",A4:Z106,20,FALSE)),ROUND(VLOOKUP("4.4",A4:Z106,20,FALSE),4),0)</f>
        <v>15681440</v>
      </c>
      <c r="U60" s="11">
        <f>IF(ISNUMBER(VLOOKUP("1.1",A4:Z106,21,FALSE)),ROUND(VLOOKUP("1.1",A4:Z106,21,FALSE),4),0) - IF(ISNUMBER(VLOOKUP("2.1",A4:Z106,21,FALSE)),ROUND(VLOOKUP("2.1",A4:Z106,21,FALSE),4),0) + IF(ISNUMBER(VLOOKUP("4.2",A4:Z106,21,FALSE)),ROUND(VLOOKUP("4.2",A4:Z106,21,FALSE),4),0) + IF(ISNUMBER(VLOOKUP("4.4",A4:Z106,21,FALSE)),ROUND(VLOOKUP("4.4",A4:Z106,21,FALSE),4),0)</f>
        <v>16386275</v>
      </c>
      <c r="V60" s="11">
        <f>IF(ISNUMBER(VLOOKUP("1.1",A4:Z106,22,FALSE)),ROUND(VLOOKUP("1.1",A4:Z106,22,FALSE),4),0) - IF(ISNUMBER(VLOOKUP("2.1",A4:Z106,22,FALSE)),ROUND(VLOOKUP("2.1",A4:Z106,22,FALSE),4),0) + IF(ISNUMBER(VLOOKUP("4.2",A4:Z106,22,FALSE)),ROUND(VLOOKUP("4.2",A4:Z106,22,FALSE),4),0) + IF(ISNUMBER(VLOOKUP("4.4",A4:Z106,22,FALSE)),ROUND(VLOOKUP("4.4",A4:Z106,22,FALSE),4),0)</f>
        <v>17174461</v>
      </c>
      <c r="W60" s="11">
        <f>IF(ISNUMBER(VLOOKUP("1.1",A4:Z106,23,FALSE)),ROUND(VLOOKUP("1.1",A4:Z106,23,FALSE),4),0) - IF(ISNUMBER(VLOOKUP("2.1",A4:Z106,23,FALSE)),ROUND(VLOOKUP("2.1",A4:Z106,23,FALSE),4),0) + IF(ISNUMBER(VLOOKUP("4.2",A4:Z106,23,FALSE)),ROUND(VLOOKUP("4.2",A4:Z106,23,FALSE),4),0) + IF(ISNUMBER(VLOOKUP("4.4",A4:Z106,23,FALSE)),ROUND(VLOOKUP("4.4",A4:Z106,23,FALSE),4),0)</f>
        <v>18002862</v>
      </c>
      <c r="X60" s="11">
        <f>IF(ISNUMBER(VLOOKUP("1.1",A4:Z106,24,FALSE)),ROUND(VLOOKUP("1.1",A4:Z106,24,FALSE),4),0) - IF(ISNUMBER(VLOOKUP("2.1",A4:Z106,24,FALSE)),ROUND(VLOOKUP("2.1",A4:Z106,24,FALSE),4),0) + IF(ISNUMBER(VLOOKUP("4.2",A4:Z106,24,FALSE)),ROUND(VLOOKUP("4.2",A4:Z106,24,FALSE),4),0) + IF(ISNUMBER(VLOOKUP("4.4",A4:Z106,24,FALSE)),ROUND(VLOOKUP("4.4",A4:Z106,24,FALSE),4),0)</f>
        <v>18985282</v>
      </c>
      <c r="Y60" s="11">
        <f>IF(ISNUMBER(VLOOKUP("1.1",A4:Z106,25,FALSE)),ROUND(VLOOKUP("1.1",A4:Z106,25,FALSE),4),0) - IF(ISNUMBER(VLOOKUP("2.1",A4:Z106,25,FALSE)),ROUND(VLOOKUP("2.1",A4:Z106,25,FALSE),4),0) + IF(ISNUMBER(VLOOKUP("4.2",A4:Z106,25,FALSE)),ROUND(VLOOKUP("4.2",A4:Z106,25,FALSE),4),0) + IF(ISNUMBER(VLOOKUP("4.4",A4:Z106,25,FALSE)),ROUND(VLOOKUP("4.4",A4:Z106,25,FALSE),4),0)</f>
        <v>20089747</v>
      </c>
      <c r="Z60" s="11">
        <f>IF(ISNUMBER(VLOOKUP("1.1",A4:Z106,26,FALSE)),ROUND(VLOOKUP("1.1",A4:Z106,26,FALSE),4),0) - IF(ISNUMBER(VLOOKUP("2.1",A4:Z106,26,FALSE)),ROUND(VLOOKUP("2.1",A4:Z106,26,FALSE),4),0) + IF(ISNUMBER(VLOOKUP("4.2",A4:Z106,26,FALSE)),ROUND(VLOOKUP("4.2",A4:Z106,26,FALSE),4),0) + IF(ISNUMBER(VLOOKUP("4.4",A4:Z106,26,FALSE)),ROUND(VLOOKUP("4.4",A4:Z106,26,FALSE),4),0)</f>
        <v>24663587</v>
      </c>
    </row>
    <row r="61" spans="1:26" ht="30.6" hidden="1" x14ac:dyDescent="0.3">
      <c r="A61" s="6" t="s">
        <v>134</v>
      </c>
      <c r="B61" s="7" t="s">
        <v>135</v>
      </c>
      <c r="C61" s="10">
        <f>IF(ISNUMBER(VLOOKUP("7.2",A4:Z106,3,FALSE)),ROUND(VLOOKUP("7.2",A4:Z106,3,FALSE),4),0) + IF(ISNUMBER(VLOOKUP("10.11.x",A4:Z106,3,FALSE)),ROUND(VLOOKUP("10.11.x",A4:Z106,3,FALSE),4),0)</f>
        <v>7132949.25</v>
      </c>
      <c r="D61" s="10">
        <f>IF(ISNUMBER(VLOOKUP("7.2",A4:Z106,4,FALSE)),ROUND(VLOOKUP("7.2",A4:Z106,4,FALSE),4),0) + IF(ISNUMBER(VLOOKUP("10.11.x",A4:Z106,4,FALSE)),ROUND(VLOOKUP("10.11.x",A4:Z106,4,FALSE),4),0)</f>
        <v>7737990.4500000002</v>
      </c>
      <c r="E61" s="10">
        <f>IF(ISNUMBER(VLOOKUP("7.2",A4:Z106,5,FALSE)),ROUND(VLOOKUP("7.2",A4:Z106,5,FALSE),4),0) + IF(ISNUMBER(VLOOKUP("10.11.x",A4:Z106,5,FALSE)),ROUND(VLOOKUP("10.11.x",A4:Z106,5,FALSE),4),0)</f>
        <v>12490410.74</v>
      </c>
      <c r="F61" s="10">
        <f>IF(ISNUMBER(VLOOKUP("7.2",A4:Z106,6,FALSE)),ROUND(VLOOKUP("7.2",A4:Z106,6,FALSE),4),0) + IF(ISNUMBER(VLOOKUP("10.11.x",A4:Z106,6,FALSE)),ROUND(VLOOKUP("10.11.x",A4:Z106,6,FALSE),4),0)</f>
        <v>24987786.059999999</v>
      </c>
      <c r="G61" s="10">
        <f>IF(ISNUMBER(VLOOKUP("7.2",A4:Z106,7,FALSE)),ROUND(VLOOKUP("7.2",A4:Z106,7,FALSE),4),0) + IF(ISNUMBER(VLOOKUP("10.11.x",A4:Z106,7,FALSE)),ROUND(VLOOKUP("10.11.x",A4:Z106,7,FALSE),4),0)</f>
        <v>26680441.899999999</v>
      </c>
      <c r="H61" s="10">
        <f>IF(ISNUMBER(VLOOKUP("7.2",A4:Z106,8,FALSE)),ROUND(VLOOKUP("7.2",A4:Z106,8,FALSE),4),0) + IF(ISNUMBER(VLOOKUP("10.11.x",A4:Z106,8,FALSE)),ROUND(VLOOKUP("10.11.x",A4:Z106,8,FALSE),4),0)</f>
        <v>14863465.460000001</v>
      </c>
      <c r="I61" s="10">
        <f>IF(ISNUMBER(VLOOKUP("7.2",A4:Z106,9,FALSE)),ROUND(VLOOKUP("7.2",A4:Z106,9,FALSE),4),0) + IF(ISNUMBER(VLOOKUP("10.11.x",A4:Z106,9,FALSE)),ROUND(VLOOKUP("10.11.x",A4:Z106,9,FALSE),4),0)</f>
        <v>10033689.25</v>
      </c>
      <c r="J61" s="10">
        <f>IF(ISNUMBER(VLOOKUP("7.2",A4:Z106,10,FALSE)),ROUND(VLOOKUP("7.2",A4:Z106,10,FALSE),4),0) + IF(ISNUMBER(VLOOKUP("10.11.x",A4:Z106,10,FALSE)),ROUND(VLOOKUP("10.11.x",A4:Z106,10,FALSE),4),0)</f>
        <v>24776942.219999999</v>
      </c>
      <c r="K61" s="11">
        <f>IF(ISNUMBER(VLOOKUP("7.2",A4:Z106,11,FALSE)),ROUND(VLOOKUP("7.2",A4:Z106,11,FALSE),4),0) + IF(ISNUMBER(VLOOKUP("10.11.x",A4:Z106,11,FALSE)),ROUND(VLOOKUP("10.11.x",A4:Z106,11,FALSE),4),0)</f>
        <v>13887614.119999999</v>
      </c>
      <c r="L61" s="11">
        <f>IF(ISNUMBER(VLOOKUP("7.2",A4:Z106,12,FALSE)),ROUND(VLOOKUP("7.2",A4:Z106,12,FALSE),4),0) + IF(ISNUMBER(VLOOKUP("10.11.x",A4:Z106,12,FALSE)),ROUND(VLOOKUP("10.11.x",A4:Z106,12,FALSE),4),0)</f>
        <v>10379059</v>
      </c>
      <c r="M61" s="11">
        <f>IF(ISNUMBER(VLOOKUP("7.2",A4:Z106,13,FALSE)),ROUND(VLOOKUP("7.2",A4:Z106,13,FALSE),4),0) + IF(ISNUMBER(VLOOKUP("10.11.x",A4:Z106,13,FALSE)),ROUND(VLOOKUP("10.11.x",A4:Z106,13,FALSE),4),0)</f>
        <v>11098832.789999999</v>
      </c>
      <c r="N61" s="11">
        <f>IF(ISNUMBER(VLOOKUP("7.2",A4:Z106,14,FALSE)),ROUND(VLOOKUP("7.2",A4:Z106,14,FALSE),4),0) + IF(ISNUMBER(VLOOKUP("10.11.x",A4:Z106,14,FALSE)),ROUND(VLOOKUP("10.11.x",A4:Z106,14,FALSE),4),0)</f>
        <v>11290024</v>
      </c>
      <c r="O61" s="11">
        <f>IF(ISNUMBER(VLOOKUP("7.2",A4:Z106,15,FALSE)),ROUND(VLOOKUP("7.2",A4:Z106,15,FALSE),4),0) + IF(ISNUMBER(VLOOKUP("10.11.x",A4:Z106,15,FALSE)),ROUND(VLOOKUP("10.11.x",A4:Z106,15,FALSE),4),0)</f>
        <v>14400265</v>
      </c>
      <c r="P61" s="11">
        <f>IF(ISNUMBER(VLOOKUP("7.2",A4:Z106,16,FALSE)),ROUND(VLOOKUP("7.2",A4:Z106,16,FALSE),4),0) + IF(ISNUMBER(VLOOKUP("10.11.x",A4:Z106,16,FALSE)),ROUND(VLOOKUP("10.11.x",A4:Z106,16,FALSE),4),0)</f>
        <v>15124005</v>
      </c>
      <c r="Q61" s="11">
        <f>IF(ISNUMBER(VLOOKUP("7.2",A4:Z106,17,FALSE)),ROUND(VLOOKUP("7.2",A4:Z106,17,FALSE),4),0) + IF(ISNUMBER(VLOOKUP("10.11.x",A4:Z106,17,FALSE)),ROUND(VLOOKUP("10.11.x",A4:Z106,17,FALSE),4),0)</f>
        <v>13803543</v>
      </c>
      <c r="R61" s="11">
        <f>IF(ISNUMBER(VLOOKUP("7.2",A4:Z106,18,FALSE)),ROUND(VLOOKUP("7.2",A4:Z106,18,FALSE),4),0) + IF(ISNUMBER(VLOOKUP("10.11.x",A4:Z106,18,FALSE)),ROUND(VLOOKUP("10.11.x",A4:Z106,18,FALSE),4),0)</f>
        <v>14400905</v>
      </c>
      <c r="S61" s="11">
        <f>IF(ISNUMBER(VLOOKUP("7.2",A4:Z106,19,FALSE)),ROUND(VLOOKUP("7.2",A4:Z106,19,FALSE),4),0) + IF(ISNUMBER(VLOOKUP("10.11.x",A4:Z106,19,FALSE)),ROUND(VLOOKUP("10.11.x",A4:Z106,19,FALSE),4),0)</f>
        <v>15020292</v>
      </c>
      <c r="T61" s="11">
        <f>IF(ISNUMBER(VLOOKUP("7.2",A4:Z106,20,FALSE)),ROUND(VLOOKUP("7.2",A4:Z106,20,FALSE),4),0) + IF(ISNUMBER(VLOOKUP("10.11.x",A4:Z106,20,FALSE)),ROUND(VLOOKUP("10.11.x",A4:Z106,20,FALSE),4),0)</f>
        <v>15681440</v>
      </c>
      <c r="U61" s="11">
        <f>IF(ISNUMBER(VLOOKUP("7.2",A4:Z106,21,FALSE)),ROUND(VLOOKUP("7.2",A4:Z106,21,FALSE),4),0) + IF(ISNUMBER(VLOOKUP("10.11.x",A4:Z106,21,FALSE)),ROUND(VLOOKUP("10.11.x",A4:Z106,21,FALSE),4),0)</f>
        <v>16386275</v>
      </c>
      <c r="V61" s="11">
        <f>IF(ISNUMBER(VLOOKUP("7.2",A4:Z106,22,FALSE)),ROUND(VLOOKUP("7.2",A4:Z106,22,FALSE),4),0) + IF(ISNUMBER(VLOOKUP("10.11.x",A4:Z106,22,FALSE)),ROUND(VLOOKUP("10.11.x",A4:Z106,22,FALSE),4),0)</f>
        <v>17174461</v>
      </c>
      <c r="W61" s="11">
        <f>IF(ISNUMBER(VLOOKUP("7.2",A4:Z106,23,FALSE)),ROUND(VLOOKUP("7.2",A4:Z106,23,FALSE),4),0) + IF(ISNUMBER(VLOOKUP("10.11.x",A4:Z106,23,FALSE)),ROUND(VLOOKUP("10.11.x",A4:Z106,23,FALSE),4),0)</f>
        <v>18002862</v>
      </c>
      <c r="X61" s="11">
        <f>IF(ISNUMBER(VLOOKUP("7.2",A4:Z106,24,FALSE)),ROUND(VLOOKUP("7.2",A4:Z106,24,FALSE),4),0) + IF(ISNUMBER(VLOOKUP("10.11.x",A4:Z106,24,FALSE)),ROUND(VLOOKUP("10.11.x",A4:Z106,24,FALSE),4),0)</f>
        <v>18985282</v>
      </c>
      <c r="Y61" s="11">
        <f>IF(ISNUMBER(VLOOKUP("7.2",A4:Z106,25,FALSE)),ROUND(VLOOKUP("7.2",A4:Z106,25,FALSE),4),0) + IF(ISNUMBER(VLOOKUP("10.11.x",A4:Z106,25,FALSE)),ROUND(VLOOKUP("10.11.x",A4:Z106,25,FALSE),4),0)</f>
        <v>20089747</v>
      </c>
      <c r="Z61" s="11">
        <f>IF(ISNUMBER(VLOOKUP("7.2",A4:Z106,26,FALSE)),ROUND(VLOOKUP("7.2",A4:Z106,26,FALSE),4),0) + IF(ISNUMBER(VLOOKUP("10.11.x",A4:Z106,26,FALSE)),ROUND(VLOOKUP("10.11.x",A4:Z106,26,FALSE),4),0)</f>
        <v>24663587</v>
      </c>
    </row>
    <row r="62" spans="1:26" ht="14.25" customHeight="1" x14ac:dyDescent="0.3">
      <c r="A62" s="2" t="s">
        <v>136</v>
      </c>
      <c r="B62" s="3" t="s">
        <v>137</v>
      </c>
      <c r="C62" s="25" t="s">
        <v>129</v>
      </c>
      <c r="D62" s="25" t="s">
        <v>129</v>
      </c>
      <c r="E62" s="25" t="s">
        <v>129</v>
      </c>
      <c r="F62" s="25" t="s">
        <v>129</v>
      </c>
      <c r="G62" s="25" t="s">
        <v>129</v>
      </c>
      <c r="H62" s="25" t="s">
        <v>129</v>
      </c>
      <c r="I62" s="25" t="s">
        <v>129</v>
      </c>
      <c r="J62" s="25" t="s">
        <v>129</v>
      </c>
      <c r="K62" s="26" t="s">
        <v>129</v>
      </c>
      <c r="L62" s="26" t="s">
        <v>129</v>
      </c>
      <c r="M62" s="26" t="s">
        <v>129</v>
      </c>
      <c r="N62" s="26" t="s">
        <v>129</v>
      </c>
      <c r="O62" s="26" t="s">
        <v>129</v>
      </c>
      <c r="P62" s="26" t="s">
        <v>129</v>
      </c>
      <c r="Q62" s="26" t="s">
        <v>129</v>
      </c>
      <c r="R62" s="26" t="s">
        <v>129</v>
      </c>
      <c r="S62" s="26" t="s">
        <v>129</v>
      </c>
      <c r="T62" s="26" t="s">
        <v>129</v>
      </c>
      <c r="U62" s="26" t="s">
        <v>129</v>
      </c>
      <c r="V62" s="26" t="s">
        <v>129</v>
      </c>
      <c r="W62" s="26" t="s">
        <v>129</v>
      </c>
      <c r="X62" s="26" t="s">
        <v>129</v>
      </c>
      <c r="Y62" s="26" t="s">
        <v>129</v>
      </c>
      <c r="Z62" s="26" t="s">
        <v>129</v>
      </c>
    </row>
    <row r="63" spans="1:26" ht="65.7" customHeight="1" x14ac:dyDescent="0.3">
      <c r="A63" s="14" t="s">
        <v>138</v>
      </c>
      <c r="B63" s="15" t="s">
        <v>139</v>
      </c>
      <c r="C63" s="16">
        <f>(IF(ISNUMBER(VLOOKUP("5.1",A4:Z106,3,FALSE)),ROUND(VLOOKUP("5.1",A4:Z106,3,FALSE),4),0) - IF(ISNUMBER(VLOOKUP("5.1.1",A4:Z106,3,FALSE)),ROUND(VLOOKUP("5.1.1",A4:Z106,3,FALSE),4),0) + IF(ISNUMBER(VLOOKUP("10.7.2.1",A4:Z106,3,FALSE)),ROUND(VLOOKUP("10.7.2.1",A4:Z106,3,FALSE),4),0) - IF(ISNUMBER(VLOOKUP("10.9",A4:Z106,3,FALSE)),ROUND(VLOOKUP("10.9",A4:Z106,3,FALSE),4),0) + IF(ISNUMBER(VLOOKUP("2.1.2",A4:Z106,3,FALSE)),ROUND(VLOOKUP("2.1.2",A4:Z106,3,FALSE),4),0) - IF(ISNUMBER(VLOOKUP("2.1.2.1",A4:Z106,3,FALSE)),ROUND(VLOOKUP("2.1.2.1",A4:Z106,3,FALSE),4),0) + IF(ISNUMBER(VLOOKUP("2.1.3",A4:Z106,3,FALSE)),ROUND(VLOOKUP("2.1.3",A4:Z106,3,FALSE),4),0) - (IF(ISNUMBER(VLOOKUP("2.1.3.1",A4:Z106,3,FALSE)),ROUND(VLOOKUP("2.1.3.1",A4:Z106,3,FALSE),4),0) + IF(ISNUMBER(VLOOKUP("2.1.3.2",A4:Z106,3,FALSE)),ROUND(VLOOKUP("2.1.3.2",A4:Z106,3,FALSE),4),0) + IF(ISNA(VLOOKUP("2.1.3.3",A4:Z106,3,FALSE)),0,ROUND(VLOOKUP("2.1.3.3",A4:Z106,3,FALSE),4))) + IF(ISNUMBER(VLOOKUP("10.4",A4:Z106,3,FALSE)),ROUND(VLOOKUP("10.4",A4:Z106,3,FALSE),4),0)) / (IF(ISNUMBER(VLOOKUP("1.1",A4:Z106,3,FALSE)),ROUND(VLOOKUP("1.1",A4:Z106,3,FALSE),4),0) - IF(ISNUMBER(VLOOKUP("1.1.4",A4:Z106,3,FALSE)),ROUND(VLOOKUP("1.1.4",A4:Z106,3,FALSE),4),0) - IF(ISNA(VLOOKUP("11.1.1",A4:Z106,3,FALSE)),0,ROUND(VLOOKUP("11.1.1",A4:Z106,3,FALSE),4)))</f>
        <v>1.9866516971258984E-2</v>
      </c>
      <c r="D63" s="16">
        <f>(IF(ISNUMBER(VLOOKUP("5.1",A4:Z106,4,FALSE)),ROUND(VLOOKUP("5.1",A4:Z106,4,FALSE),4),0) - IF(ISNUMBER(VLOOKUP("5.1.1",A4:Z106,4,FALSE)),ROUND(VLOOKUP("5.1.1",A4:Z106,4,FALSE),4),0) + IF(ISNUMBER(VLOOKUP("10.7.2.1",A4:Z106,4,FALSE)),ROUND(VLOOKUP("10.7.2.1",A4:Z106,4,FALSE),4),0) - IF(ISNUMBER(VLOOKUP("10.9",A4:Z106,4,FALSE)),ROUND(VLOOKUP("10.9",A4:Z106,4,FALSE),4),0) + IF(ISNUMBER(VLOOKUP("2.1.2",A4:Z106,4,FALSE)),ROUND(VLOOKUP("2.1.2",A4:Z106,4,FALSE),4),0) - IF(ISNUMBER(VLOOKUP("2.1.2.1",A4:Z106,4,FALSE)),ROUND(VLOOKUP("2.1.2.1",A4:Z106,4,FALSE),4),0) + IF(ISNUMBER(VLOOKUP("2.1.3",A4:Z106,4,FALSE)),ROUND(VLOOKUP("2.1.3",A4:Z106,4,FALSE),4),0) - (IF(ISNUMBER(VLOOKUP("2.1.3.1",A4:Z106,4,FALSE)),ROUND(VLOOKUP("2.1.3.1",A4:Z106,4,FALSE),4),0) + IF(ISNUMBER(VLOOKUP("2.1.3.2",A4:Z106,4,FALSE)),ROUND(VLOOKUP("2.1.3.2",A4:Z106,4,FALSE),4),0) + IF(ISNA(VLOOKUP("2.1.3.3",A4:Z106,4,FALSE)),0,ROUND(VLOOKUP("2.1.3.3",A4:Z106,4,FALSE),4))) + IF(ISNUMBER(VLOOKUP("10.4",A4:Z106,4,FALSE)),ROUND(VLOOKUP("10.4",A4:Z106,4,FALSE),4),0)) / (IF(ISNUMBER(VLOOKUP("1.1",A4:Z106,4,FALSE)),ROUND(VLOOKUP("1.1",A4:Z106,4,FALSE),4),0) - IF(ISNUMBER(VLOOKUP("1.1.4",A4:Z106,4,FALSE)),ROUND(VLOOKUP("1.1.4",A4:Z106,4,FALSE),4),0) - IF(ISNA(VLOOKUP("11.1.1",A4:Z106,4,FALSE)),0,ROUND(VLOOKUP("11.1.1",A4:Z106,4,FALSE),4)))</f>
        <v>9.0341767830070502E-2</v>
      </c>
      <c r="E63" s="16">
        <f>(IF(ISNUMBER(VLOOKUP("5.1",A4:Z106,5,FALSE)),ROUND(VLOOKUP("5.1",A4:Z106,5,FALSE),4),0) - IF(ISNUMBER(VLOOKUP("5.1.1",A4:Z106,5,FALSE)),ROUND(VLOOKUP("5.1.1",A4:Z106,5,FALSE),4),0) + IF(ISNUMBER(VLOOKUP("10.7.2.1",A4:Z106,5,FALSE)),ROUND(VLOOKUP("10.7.2.1",A4:Z106,5,FALSE),4),0) - IF(ISNUMBER(VLOOKUP("10.9",A4:Z106,5,FALSE)),ROUND(VLOOKUP("10.9",A4:Z106,5,FALSE),4),0) + IF(ISNUMBER(VLOOKUP("2.1.2",A4:Z106,5,FALSE)),ROUND(VLOOKUP("2.1.2",A4:Z106,5,FALSE),4),0) - IF(ISNUMBER(VLOOKUP("2.1.2.1",A4:Z106,5,FALSE)),ROUND(VLOOKUP("2.1.2.1",A4:Z106,5,FALSE),4),0) + IF(ISNUMBER(VLOOKUP("2.1.3",A4:Z106,5,FALSE)),ROUND(VLOOKUP("2.1.3",A4:Z106,5,FALSE),4),0) - (IF(ISNUMBER(VLOOKUP("2.1.3.1",A4:Z106,5,FALSE)),ROUND(VLOOKUP("2.1.3.1",A4:Z106,5,FALSE),4),0) + IF(ISNUMBER(VLOOKUP("2.1.3.2",A4:Z106,5,FALSE)),ROUND(VLOOKUP("2.1.3.2",A4:Z106,5,FALSE),4),0) + IF(ISNA(VLOOKUP("2.1.3.3",A4:Z106,5,FALSE)),0,ROUND(VLOOKUP("2.1.3.3",A4:Z106,5,FALSE),4))) + IF(ISNUMBER(VLOOKUP("10.4",A4:Z106,5,FALSE)),ROUND(VLOOKUP("10.4",A4:Z106,5,FALSE),4),0)) / (IF(ISNUMBER(VLOOKUP("1.1",A4:Z106,5,FALSE)),ROUND(VLOOKUP("1.1",A4:Z106,5,FALSE),4),0) - IF(ISNUMBER(VLOOKUP("1.1.4",A4:Z106,5,FALSE)),ROUND(VLOOKUP("1.1.4",A4:Z106,5,FALSE),4),0) - IF(ISNA(VLOOKUP("11.1.1",A4:Z106,5,FALSE)),0,ROUND(VLOOKUP("11.1.1",A4:Z106,5,FALSE),4)))</f>
        <v>7.0097245734810229E-2</v>
      </c>
      <c r="F63" s="16">
        <f>(IF(ISNUMBER(VLOOKUP("5.1",A4:Z106,6,FALSE)),ROUND(VLOOKUP("5.1",A4:Z106,6,FALSE),4),0) - IF(ISNUMBER(VLOOKUP("5.1.1",A4:Z106,6,FALSE)),ROUND(VLOOKUP("5.1.1",A4:Z106,6,FALSE),4),0) + IF(ISNUMBER(VLOOKUP("10.7.2.1",A4:Z106,6,FALSE)),ROUND(VLOOKUP("10.7.2.1",A4:Z106,6,FALSE),4),0) - IF(ISNUMBER(VLOOKUP("10.9",A4:Z106,6,FALSE)),ROUND(VLOOKUP("10.9",A4:Z106,6,FALSE),4),0) + IF(ISNUMBER(VLOOKUP("2.1.2",A4:Z106,6,FALSE)),ROUND(VLOOKUP("2.1.2",A4:Z106,6,FALSE),4),0) - IF(ISNUMBER(VLOOKUP("2.1.2.1",A4:Z106,6,FALSE)),ROUND(VLOOKUP("2.1.2.1",A4:Z106,6,FALSE),4),0) + IF(ISNUMBER(VLOOKUP("2.1.3",A4:Z106,6,FALSE)),ROUND(VLOOKUP("2.1.3",A4:Z106,6,FALSE),4),0) - (IF(ISNUMBER(VLOOKUP("2.1.3.1",A4:Z106,6,FALSE)),ROUND(VLOOKUP("2.1.3.1",A4:Z106,6,FALSE),4),0) + IF(ISNUMBER(VLOOKUP("2.1.3.2",A4:Z106,6,FALSE)),ROUND(VLOOKUP("2.1.3.2",A4:Z106,6,FALSE),4),0) + IF(ISNA(VLOOKUP("2.1.3.3",A4:Z106,6,FALSE)),0,ROUND(VLOOKUP("2.1.3.3",A4:Z106,6,FALSE),4))) + IF(ISNUMBER(VLOOKUP("10.4",A4:Z106,6,FALSE)),ROUND(VLOOKUP("10.4",A4:Z106,6,FALSE),4),0)) / (IF(ISNUMBER(VLOOKUP("1.1",A4:Z106,6,FALSE)),ROUND(VLOOKUP("1.1",A4:Z106,6,FALSE),4),0) - IF(ISNUMBER(VLOOKUP("1.1.4",A4:Z106,6,FALSE)),ROUND(VLOOKUP("1.1.4",A4:Z106,6,FALSE),4),0) - IF(ISNA(VLOOKUP("11.1.1",A4:Z106,6,FALSE)),0,ROUND(VLOOKUP("11.1.1",A4:Z106,6,FALSE),4)))</f>
        <v>6.3041408422561299E-2</v>
      </c>
      <c r="G63" s="16">
        <f>(IF(ISNUMBER(VLOOKUP("5.1",A4:Z106,7,FALSE)),ROUND(VLOOKUP("5.1",A4:Z106,7,FALSE),4),0) - IF(ISNUMBER(VLOOKUP("5.1.1",A4:Z106,7,FALSE)),ROUND(VLOOKUP("5.1.1",A4:Z106,7,FALSE),4),0) + IF(ISNUMBER(VLOOKUP("10.7.2.1",A4:Z106,7,FALSE)),ROUND(VLOOKUP("10.7.2.1",A4:Z106,7,FALSE),4),0) - IF(ISNUMBER(VLOOKUP("10.9",A4:Z106,7,FALSE)),ROUND(VLOOKUP("10.9",A4:Z106,7,FALSE),4),0) + IF(ISNUMBER(VLOOKUP("2.1.2",A4:Z106,7,FALSE)),ROUND(VLOOKUP("2.1.2",A4:Z106,7,FALSE),4),0) - IF(ISNUMBER(VLOOKUP("2.1.2.1",A4:Z106,7,FALSE)),ROUND(VLOOKUP("2.1.2.1",A4:Z106,7,FALSE),4),0) + IF(ISNUMBER(VLOOKUP("2.1.3",A4:Z106,7,FALSE)),ROUND(VLOOKUP("2.1.3",A4:Z106,7,FALSE),4),0) - (IF(ISNUMBER(VLOOKUP("2.1.3.1",A4:Z106,7,FALSE)),ROUND(VLOOKUP("2.1.3.1",A4:Z106,7,FALSE),4),0) + IF(ISNUMBER(VLOOKUP("2.1.3.2",A4:Z106,7,FALSE)),ROUND(VLOOKUP("2.1.3.2",A4:Z106,7,FALSE),4),0) + IF(ISNA(VLOOKUP("2.1.3.3",A4:Z106,7,FALSE)),0,ROUND(VLOOKUP("2.1.3.3",A4:Z106,7,FALSE),4))) + IF(ISNUMBER(VLOOKUP("10.4",A4:Z106,7,FALSE)),ROUND(VLOOKUP("10.4",A4:Z106,7,FALSE),4),0)) / (IF(ISNUMBER(VLOOKUP("1.1",A4:Z106,7,FALSE)),ROUND(VLOOKUP("1.1",A4:Z106,7,FALSE),4),0) - IF(ISNUMBER(VLOOKUP("1.1.4",A4:Z106,7,FALSE)),ROUND(VLOOKUP("1.1.4",A4:Z106,7,FALSE),4),0) - IF(ISNA(VLOOKUP("11.1.1",A4:Z106,7,FALSE)),0,ROUND(VLOOKUP("11.1.1",A4:Z106,7,FALSE),4)))</f>
        <v>8.949779257513385E-2</v>
      </c>
      <c r="H63" s="16">
        <f>(IF(ISNUMBER(VLOOKUP("5.1",A4:Z106,8,FALSE)),ROUND(VLOOKUP("5.1",A4:Z106,8,FALSE),4),0) - IF(ISNUMBER(VLOOKUP("5.1.1",A4:Z106,8,FALSE)),ROUND(VLOOKUP("5.1.1",A4:Z106,8,FALSE),4),0) + IF(ISNUMBER(VLOOKUP("10.7.2.1",A4:Z106,8,FALSE)),ROUND(VLOOKUP("10.7.2.1",A4:Z106,8,FALSE),4),0) - IF(ISNUMBER(VLOOKUP("10.9",A4:Z106,8,FALSE)),ROUND(VLOOKUP("10.9",A4:Z106,8,FALSE),4),0) + IF(ISNUMBER(VLOOKUP("2.1.3",A4:Z106,8,FALSE)),ROUND(VLOOKUP("2.1.3",A4:Z106,8,FALSE),4),0) - (IF(ISNUMBER(VLOOKUP("2.1.3.1",A4:Z106,8,FALSE)),ROUND(VLOOKUP("2.1.3.1",A4:Z106,8,FALSE),4),0) + IF(ISNUMBER(VLOOKUP("2.1.3.2",A4:Z106,8,FALSE)),ROUND(VLOOKUP("2.1.3.2",A4:Z106,8,FALSE),4),0) + IF(ISNA(VLOOKUP("2.1.3.3",A4:Z106,8,FALSE)),0,ROUND(VLOOKUP("2.1.3.3",A4:Z106,8,FALSE),4))) + IF(ISNUMBER(VLOOKUP("10.4",A4:Z106,8,FALSE)),ROUND(VLOOKUP("10.4",A4:Z106,8,FALSE),4),0)) / (IF(ISNUMBER(VLOOKUP("1.1",A4:Z106,8,FALSE)),ROUND(VLOOKUP("1.1",A4:Z106,8,FALSE),4),0) - IF(ISNUMBER(VLOOKUP("1.1.4",A4:Z106,8,FALSE)),ROUND(VLOOKUP("1.1.4",A4:Z106,8,FALSE),4),0) - IF(ISNA(VLOOKUP("11.1.1",A4:Z106,8,FALSE)),0,ROUND(VLOOKUP("11.1.1",A4:Z106,8,FALSE),4)))</f>
        <v>0.10043200897123347</v>
      </c>
      <c r="I63" s="16">
        <f>(IF(ISNUMBER(VLOOKUP("5.1",A4:Z106,9,FALSE)),ROUND(VLOOKUP("5.1",A4:Z106,9,FALSE),4),0) - IF(ISNUMBER(VLOOKUP("5.1.1",A4:Z106,9,FALSE)),ROUND(VLOOKUP("5.1.1",A4:Z106,9,FALSE),4),0) + IF(ISNUMBER(VLOOKUP("10.7.2.1",A4:Z106,9,FALSE)),ROUND(VLOOKUP("10.7.2.1",A4:Z106,9,FALSE),4),0) - IF(ISNUMBER(VLOOKUP("10.9",A4:Z106,9,FALSE)),ROUND(VLOOKUP("10.9",A4:Z106,9,FALSE),4),0) + IF(ISNUMBER(VLOOKUP("2.1.3",A4:Z106,9,FALSE)),ROUND(VLOOKUP("2.1.3",A4:Z106,9,FALSE),4),0) - (IF(ISNUMBER(VLOOKUP("2.1.3.1",A4:Z106,9,FALSE)),ROUND(VLOOKUP("2.1.3.1",A4:Z106,9,FALSE),4),0) + IF(ISNUMBER(VLOOKUP("2.1.3.2",A4:Z106,9,FALSE)),ROUND(VLOOKUP("2.1.3.2",A4:Z106,9,FALSE),4),0) + IF(ISNA(VLOOKUP("2.1.3.3",A4:Z106,9,FALSE)),0,ROUND(VLOOKUP("2.1.3.3",A4:Z106,9,FALSE),4))) + IF(ISNUMBER(VLOOKUP("10.4",A4:Z106,9,FALSE)),ROUND(VLOOKUP("10.4",A4:Z106,9,FALSE),4),0)) / (IF(ISNUMBER(VLOOKUP("1.1",A4:Z106,9,FALSE)),ROUND(VLOOKUP("1.1",A4:Z106,9,FALSE),4),0) - IF(ISNUMBER(VLOOKUP("1.1.4",A4:Z106,9,FALSE)),ROUND(VLOOKUP("1.1.4",A4:Z106,9,FALSE),4),0) - IF(ISNA(VLOOKUP("11.1.1",A4:Z106,9,FALSE)),0,ROUND(VLOOKUP("11.1.1",A4:Z106,9,FALSE),4)))</f>
        <v>7.6947673913715695E-2</v>
      </c>
      <c r="J63" s="16">
        <f>(IF(ISNUMBER(VLOOKUP("5.1",A4:Z106,10,FALSE)),ROUND(VLOOKUP("5.1",A4:Z106,10,FALSE),4),0) - IF(ISNUMBER(VLOOKUP("5.1.1",A4:Z106,10,FALSE)),ROUND(VLOOKUP("5.1.1",A4:Z106,10,FALSE),4),0) + IF(ISNUMBER(VLOOKUP("10.7.2.1",A4:Z106,10,FALSE)),ROUND(VLOOKUP("10.7.2.1",A4:Z106,10,FALSE),4),0) - IF(ISNUMBER(VLOOKUP("10.9",A4:Z106,10,FALSE)),ROUND(VLOOKUP("10.9",A4:Z106,10,FALSE),4),0) + IF(ISNUMBER(VLOOKUP("2.1.3",A4:Z106,10,FALSE)),ROUND(VLOOKUP("2.1.3",A4:Z106,10,FALSE),4),0) - (IF(ISNUMBER(VLOOKUP("2.1.3.1",A4:Z106,10,FALSE)),ROUND(VLOOKUP("2.1.3.1",A4:Z106,10,FALSE),4),0) + IF(ISNUMBER(VLOOKUP("2.1.3.2",A4:Z106,10,FALSE)),ROUND(VLOOKUP("2.1.3.2",A4:Z106,10,FALSE),4),0) + IF(ISNA(VLOOKUP("2.1.3.3",A4:Z106,10,FALSE)),0,ROUND(VLOOKUP("2.1.3.3",A4:Z106,10,FALSE),4))) + IF(ISNUMBER(VLOOKUP("10.4",A4:Z106,10,FALSE)),ROUND(VLOOKUP("10.4",A4:Z106,10,FALSE),4),0)) / (IF(ISNUMBER(VLOOKUP("1.1",A4:Z106,10,FALSE)),ROUND(VLOOKUP("1.1",A4:Z106,10,FALSE),4),0) - IF(ISNUMBER(VLOOKUP("1.1.4",A4:Z106,10,FALSE)),ROUND(VLOOKUP("1.1.4",A4:Z106,10,FALSE),4),0) - IF(ISNA(VLOOKUP("11.1.1",A4:Z106,10,FALSE)),0,ROUND(VLOOKUP("11.1.1",A4:Z106,10,FALSE),4)))</f>
        <v>8.5328338121853892E-2</v>
      </c>
      <c r="K63" s="17">
        <f>(IF(ISNUMBER(VLOOKUP("5.1",A4:Z106,11,FALSE)),ROUND(VLOOKUP("5.1",A4:Z106,11,FALSE),4),0) - IF(ISNUMBER(VLOOKUP("5.1.1",A4:Z106,11,FALSE)),ROUND(VLOOKUP("5.1.1",A4:Z106,11,FALSE),4),0) + IF(ISNUMBER(VLOOKUP("10.7.2.1",A4:Z106,11,FALSE)),ROUND(VLOOKUP("10.7.2.1",A4:Z106,11,FALSE),4),0) - IF(ISNUMBER(VLOOKUP("10.9",A4:Z106,11,FALSE)),ROUND(VLOOKUP("10.9",A4:Z106,11,FALSE),4),0) + IF(ISNUMBER(VLOOKUP("2.1.3",A4:Z106,11,FALSE)),ROUND(VLOOKUP("2.1.3",A4:Z106,11,FALSE),4),0) - (IF(ISNUMBER(VLOOKUP("2.1.3.1",A4:Z106,11,FALSE)),ROUND(VLOOKUP("2.1.3.1",A4:Z106,11,FALSE),4),0) + IF(ISNUMBER(VLOOKUP("2.1.3.2",A4:Z106,11,FALSE)),ROUND(VLOOKUP("2.1.3.2",A4:Z106,11,FALSE),4),0) + IF(ISNA(VLOOKUP("2.1.3.3",A4:Z106,11,FALSE)),0,ROUND(VLOOKUP("2.1.3.3",A4:Z106,11,FALSE),4))) + IF(ISNUMBER(VLOOKUP("10.4",A4:Z106,11,FALSE)),ROUND(VLOOKUP("10.4",A4:Z106,11,FALSE),4),0)) / (IF(ISNUMBER(VLOOKUP("1.1",A4:Z106,11,FALSE)),ROUND(VLOOKUP("1.1",A4:Z106,11,FALSE),4),0) - IF(ISNUMBER(VLOOKUP("1.1.4",A4:Z106,11,FALSE)),ROUND(VLOOKUP("1.1.4",A4:Z106,11,FALSE),4),0) - IF(ISNA(VLOOKUP("11.1.1",A4:Z106,11,FALSE)),0,ROUND(VLOOKUP("11.1.1",A4:Z106,11,FALSE),4)))</f>
        <v>7.7500689442258255E-2</v>
      </c>
      <c r="L63" s="17">
        <f>(IF(ISNUMBER(VLOOKUP("5.1",A4:Z106,12,FALSE)),ROUND(VLOOKUP("5.1",A4:Z106,12,FALSE),4),0) - IF(ISNUMBER(VLOOKUP("5.1.1",A4:Z106,12,FALSE)),ROUND(VLOOKUP("5.1.1",A4:Z106,12,FALSE),4),0) + IF(ISNUMBER(VLOOKUP("10.7.2.1",A4:Z106,12,FALSE)),ROUND(VLOOKUP("10.7.2.1",A4:Z106,12,FALSE),4),0) - IF(ISNUMBER(VLOOKUP("10.9",A4:Z106,12,FALSE)),ROUND(VLOOKUP("10.9",A4:Z106,12,FALSE),4),0) + IF(ISNUMBER(VLOOKUP("2.1.3",A4:Z106,12,FALSE)),ROUND(VLOOKUP("2.1.3",A4:Z106,12,FALSE),4),0) - (IF(ISNUMBER(VLOOKUP("2.1.3.1",A4:Z106,12,FALSE)),ROUND(VLOOKUP("2.1.3.1",A4:Z106,12,FALSE),4),0) + IF(ISNUMBER(VLOOKUP("2.1.3.2",A4:Z106,12,FALSE)),ROUND(VLOOKUP("2.1.3.2",A4:Z106,12,FALSE),4),0) + IF(ISNA(VLOOKUP("2.1.3.3",A4:Z106,12,FALSE)),0,ROUND(VLOOKUP("2.1.3.3",A4:Z106,12,FALSE),4))) + IF(ISNUMBER(VLOOKUP("10.4",A4:Z106,12,FALSE)),ROUND(VLOOKUP("10.4",A4:Z106,12,FALSE),4),0)) / (IF(ISNUMBER(VLOOKUP("1.1",A4:Z106,12,FALSE)),ROUND(VLOOKUP("1.1",A4:Z106,12,FALSE),4),0) - IF(ISNUMBER(VLOOKUP("1.1.4",A4:Z106,12,FALSE)),ROUND(VLOOKUP("1.1.4",A4:Z106,12,FALSE),4),0) - IF(ISNA(VLOOKUP("11.1.1",A4:Z106,12,FALSE)),0,ROUND(VLOOKUP("11.1.1",A4:Z106,12,FALSE),4)))</f>
        <v>7.1332986095338169E-2</v>
      </c>
      <c r="M63" s="17">
        <f>(IF(ISNUMBER(VLOOKUP("5.1",A4:Z106,13,FALSE)),ROUND(VLOOKUP("5.1",A4:Z106,13,FALSE),4),0) - IF(ISNUMBER(VLOOKUP("5.1.1",A4:Z106,13,FALSE)),ROUND(VLOOKUP("5.1.1",A4:Z106,13,FALSE),4),0) + IF(ISNUMBER(VLOOKUP("10.7.2.1",A4:Z106,13,FALSE)),ROUND(VLOOKUP("10.7.2.1",A4:Z106,13,FALSE),4),0) - IF(ISNUMBER(VLOOKUP("10.9",A4:Z106,13,FALSE)),ROUND(VLOOKUP("10.9",A4:Z106,13,FALSE),4),0) + IF(ISNUMBER(VLOOKUP("2.1.3",A4:Z106,13,FALSE)),ROUND(VLOOKUP("2.1.3",A4:Z106,13,FALSE),4),0) - (IF(ISNUMBER(VLOOKUP("2.1.3.1",A4:Z106,13,FALSE)),ROUND(VLOOKUP("2.1.3.1",A4:Z106,13,FALSE),4),0) + IF(ISNUMBER(VLOOKUP("2.1.3.2",A4:Z106,13,FALSE)),ROUND(VLOOKUP("2.1.3.2",A4:Z106,13,FALSE),4),0) + IF(ISNA(VLOOKUP("2.1.3.3",A4:Z106,13,FALSE)),0,ROUND(VLOOKUP("2.1.3.3",A4:Z106,13,FALSE),4))) + IF(ISNUMBER(VLOOKUP("10.4",A4:Z106,13,FALSE)),ROUND(VLOOKUP("10.4",A4:Z106,13,FALSE),4),0)) / (IF(ISNUMBER(VLOOKUP("1.1",A4:Z106,13,FALSE)),ROUND(VLOOKUP("1.1",A4:Z106,13,FALSE),4),0) - IF(ISNUMBER(VLOOKUP("1.1.4",A4:Z106,13,FALSE)),ROUND(VLOOKUP("1.1.4",A4:Z106,13,FALSE),4),0) - IF(ISNA(VLOOKUP("11.1.1",A4:Z106,13,FALSE)),0,ROUND(VLOOKUP("11.1.1",A4:Z106,13,FALSE),4)))</f>
        <v>6.5833499920267588E-2</v>
      </c>
      <c r="N63" s="17">
        <f>(IF(ISNUMBER(VLOOKUP("5.1",A4:Z106,14,FALSE)),ROUND(VLOOKUP("5.1",A4:Z106,14,FALSE),4),0) - IF(ISNUMBER(VLOOKUP("5.1.1",A4:Z106,14,FALSE)),ROUND(VLOOKUP("5.1.1",A4:Z106,14,FALSE),4),0) + IF(ISNUMBER(VLOOKUP("10.7.2.1",A4:Z106,14,FALSE)),ROUND(VLOOKUP("10.7.2.1",A4:Z106,14,FALSE),4),0) - IF(ISNUMBER(VLOOKUP("10.9",A4:Z106,14,FALSE)),ROUND(VLOOKUP("10.9",A4:Z106,14,FALSE),4),0) + IF(ISNUMBER(VLOOKUP("2.1.3",A4:Z106,14,FALSE)),ROUND(VLOOKUP("2.1.3",A4:Z106,14,FALSE),4),0) - (IF(ISNUMBER(VLOOKUP("2.1.3.1",A4:Z106,14,FALSE)),ROUND(VLOOKUP("2.1.3.1",A4:Z106,14,FALSE),4),0) + IF(ISNUMBER(VLOOKUP("2.1.3.2",A4:Z106,14,FALSE)),ROUND(VLOOKUP("2.1.3.2",A4:Z106,14,FALSE),4),0) + IF(ISNA(VLOOKUP("2.1.3.3",A4:Z106,14,FALSE)),0,ROUND(VLOOKUP("2.1.3.3",A4:Z106,14,FALSE),4))) + IF(ISNUMBER(VLOOKUP("10.4",A4:Z106,14,FALSE)),ROUND(VLOOKUP("10.4",A4:Z106,14,FALSE),4),0)) / (IF(ISNUMBER(VLOOKUP("1.1",A4:Z106,14,FALSE)),ROUND(VLOOKUP("1.1",A4:Z106,14,FALSE),4),0) - IF(ISNUMBER(VLOOKUP("1.1.4",A4:Z106,14,FALSE)),ROUND(VLOOKUP("1.1.4",A4:Z106,14,FALSE),4),0) - IF(ISNA(VLOOKUP("11.1.1",A4:Z106,14,FALSE)),0,ROUND(VLOOKUP("11.1.1",A4:Z106,14,FALSE),4)))</f>
        <v>5.6085840986983382E-2</v>
      </c>
      <c r="O63" s="17">
        <f>(IF(ISNUMBER(VLOOKUP("5.1",A4:Z106,15,FALSE)),ROUND(VLOOKUP("5.1",A4:Z106,15,FALSE),4),0) - IF(ISNUMBER(VLOOKUP("5.1.1",A4:Z106,15,FALSE)),ROUND(VLOOKUP("5.1.1",A4:Z106,15,FALSE),4),0) + IF(ISNUMBER(VLOOKUP("10.7.2.1",A4:Z106,15,FALSE)),ROUND(VLOOKUP("10.7.2.1",A4:Z106,15,FALSE),4),0) - IF(ISNUMBER(VLOOKUP("10.9",A4:Z106,15,FALSE)),ROUND(VLOOKUP("10.9",A4:Z106,15,FALSE),4),0) + IF(ISNUMBER(VLOOKUP("2.1.3",A4:Z106,15,FALSE)),ROUND(VLOOKUP("2.1.3",A4:Z106,15,FALSE),4),0) - (IF(ISNUMBER(VLOOKUP("2.1.3.1",A4:Z106,15,FALSE)),ROUND(VLOOKUP("2.1.3.1",A4:Z106,15,FALSE),4),0) + IF(ISNUMBER(VLOOKUP("2.1.3.2",A4:Z106,15,FALSE)),ROUND(VLOOKUP("2.1.3.2",A4:Z106,15,FALSE),4),0) + IF(ISNA(VLOOKUP("2.1.3.3",A4:Z106,15,FALSE)),0,ROUND(VLOOKUP("2.1.3.3",A4:Z106,15,FALSE),4))) + IF(ISNUMBER(VLOOKUP("10.4",A4:Z106,15,FALSE)),ROUND(VLOOKUP("10.4",A4:Z106,15,FALSE),4),0)) / (IF(ISNUMBER(VLOOKUP("1.1",A4:Z106,15,FALSE)),ROUND(VLOOKUP("1.1",A4:Z106,15,FALSE),4),0) - IF(ISNUMBER(VLOOKUP("1.1.4",A4:Z106,15,FALSE)),ROUND(VLOOKUP("1.1.4",A4:Z106,15,FALSE),4),0) - IF(ISNA(VLOOKUP("11.1.1",A4:Z106,15,FALSE)),0,ROUND(VLOOKUP("11.1.1",A4:Z106,15,FALSE),4)))</f>
        <v>6.2412023454158819E-2</v>
      </c>
      <c r="P63" s="17">
        <f>(IF(ISNUMBER(VLOOKUP("5.1",A4:Z106,16,FALSE)),ROUND(VLOOKUP("5.1",A4:Z106,16,FALSE),4),0) - IF(ISNUMBER(VLOOKUP("5.1.1",A4:Z106,16,FALSE)),ROUND(VLOOKUP("5.1.1",A4:Z106,16,FALSE),4),0) + IF(ISNUMBER(VLOOKUP("10.7.2.1",A4:Z106,16,FALSE)),ROUND(VLOOKUP("10.7.2.1",A4:Z106,16,FALSE),4),0) - IF(ISNUMBER(VLOOKUP("10.9",A4:Z106,16,FALSE)),ROUND(VLOOKUP("10.9",A4:Z106,16,FALSE),4),0) + IF(ISNUMBER(VLOOKUP("2.1.2",A4:Z106,16,FALSE)),ROUND(VLOOKUP("2.1.2",A4:Z106,16,FALSE),4),0) - IF(ISNUMBER(VLOOKUP("2.1.2.1",A4:Z106,16,FALSE)),ROUND(VLOOKUP("2.1.2.1",A4:Z106,16,FALSE),4),0) + IF(ISNUMBER(VLOOKUP("2.1.3",A4:Z106,16,FALSE)),ROUND(VLOOKUP("2.1.3",A4:Z106,16,FALSE),4),0) - (IF(ISNUMBER(VLOOKUP("2.1.3.1",A4:Z106,16,FALSE)),ROUND(VLOOKUP("2.1.3.1",A4:Z106,16,FALSE),4),0) + IF(ISNUMBER(VLOOKUP("2.1.3.2",A4:Z106,16,FALSE)),ROUND(VLOOKUP("2.1.3.2",A4:Z106,16,FALSE),4),0) + IF(ISNA(VLOOKUP("2.1.3.3",A4:Z106,16,FALSE)),0,ROUND(VLOOKUP("2.1.3.3",A4:Z106,16,FALSE),4))) + IF(ISNUMBER(VLOOKUP("10.4",A4:Z106,16,FALSE)),ROUND(VLOOKUP("10.4",A4:Z106,16,FALSE),4),0)) / (IF(ISNUMBER(VLOOKUP("1.1",A4:Z106,16,FALSE)),ROUND(VLOOKUP("1.1",A4:Z106,16,FALSE),4),0) - IF(ISNUMBER(VLOOKUP("1.1.4",A4:Z106,16,FALSE)),ROUND(VLOOKUP("1.1.4",A4:Z106,16,FALSE),4),0) - IF(ISNA(VLOOKUP("11.1.1",A4:Z106,16,FALSE)),0,ROUND(VLOOKUP("11.1.1",A4:Z106,16,FALSE),4)))</f>
        <v>5.7102736282173265E-2</v>
      </c>
      <c r="Q63" s="17">
        <f>(IF(ISNUMBER(VLOOKUP("5.1",A4:Z106,17,FALSE)),ROUND(VLOOKUP("5.1",A4:Z106,17,FALSE),4),0) - IF(ISNUMBER(VLOOKUP("5.1.1",A4:Z106,17,FALSE)),ROUND(VLOOKUP("5.1.1",A4:Z106,17,FALSE),4),0) + IF(ISNUMBER(VLOOKUP("10.7.2.1",A4:Z106,17,FALSE)),ROUND(VLOOKUP("10.7.2.1",A4:Z106,17,FALSE),4),0) - IF(ISNUMBER(VLOOKUP("10.9",A4:Z106,17,FALSE)),ROUND(VLOOKUP("10.9",A4:Z106,17,FALSE),4),0) + IF(ISNUMBER(VLOOKUP("2.1.2",A4:Z106,17,FALSE)),ROUND(VLOOKUP("2.1.2",A4:Z106,17,FALSE),4),0) - IF(ISNUMBER(VLOOKUP("2.1.2.1",A4:Z106,17,FALSE)),ROUND(VLOOKUP("2.1.2.1",A4:Z106,17,FALSE),4),0) + IF(ISNUMBER(VLOOKUP("2.1.3",A4:Z106,17,FALSE)),ROUND(VLOOKUP("2.1.3",A4:Z106,17,FALSE),4),0) - (IF(ISNUMBER(VLOOKUP("2.1.3.1",A4:Z106,17,FALSE)),ROUND(VLOOKUP("2.1.3.1",A4:Z106,17,FALSE),4),0) + IF(ISNUMBER(VLOOKUP("2.1.3.2",A4:Z106,17,FALSE)),ROUND(VLOOKUP("2.1.3.2",A4:Z106,17,FALSE),4),0) + IF(ISNA(VLOOKUP("2.1.3.3",A4:Z106,17,FALSE)),0,ROUND(VLOOKUP("2.1.3.3",A4:Z106,17,FALSE),4))) + IF(ISNUMBER(VLOOKUP("10.4",A4:Z106,17,FALSE)),ROUND(VLOOKUP("10.4",A4:Z106,17,FALSE),4),0)) / (IF(ISNUMBER(VLOOKUP("1.1",A4:Z106,17,FALSE)),ROUND(VLOOKUP("1.1",A4:Z106,17,FALSE),4),0) - IF(ISNUMBER(VLOOKUP("1.1.4",A4:Z106,17,FALSE)),ROUND(VLOOKUP("1.1.4",A4:Z106,17,FALSE),4),0) - IF(ISNA(VLOOKUP("11.1.1",A4:Z106,17,FALSE)),0,ROUND(VLOOKUP("11.1.1",A4:Z106,17,FALSE),4)))</f>
        <v>4.2233332527725265E-2</v>
      </c>
      <c r="R63" s="17">
        <f>(IF(ISNUMBER(VLOOKUP("5.1",A4:Z106,18,FALSE)),ROUND(VLOOKUP("5.1",A4:Z106,18,FALSE),4),0) - IF(ISNUMBER(VLOOKUP("5.1.1",A4:Z106,18,FALSE)),ROUND(VLOOKUP("5.1.1",A4:Z106,18,FALSE),4),0) + IF(ISNUMBER(VLOOKUP("10.7.2.1",A4:Z106,18,FALSE)),ROUND(VLOOKUP("10.7.2.1",A4:Z106,18,FALSE),4),0) - IF(ISNUMBER(VLOOKUP("10.9",A4:Z106,18,FALSE)),ROUND(VLOOKUP("10.9",A4:Z106,18,FALSE),4),0) + IF(ISNUMBER(VLOOKUP("2.1.2",A4:Z106,18,FALSE)),ROUND(VLOOKUP("2.1.2",A4:Z106,18,FALSE),4),0) - IF(ISNUMBER(VLOOKUP("2.1.2.1",A4:Z106,18,FALSE)),ROUND(VLOOKUP("2.1.2.1",A4:Z106,18,FALSE),4),0) + IF(ISNUMBER(VLOOKUP("2.1.3",A4:Z106,18,FALSE)),ROUND(VLOOKUP("2.1.3",A4:Z106,18,FALSE),4),0) - (IF(ISNUMBER(VLOOKUP("2.1.3.1",A4:Z106,18,FALSE)),ROUND(VLOOKUP("2.1.3.1",A4:Z106,18,FALSE),4),0) + IF(ISNUMBER(VLOOKUP("2.1.3.2",A4:Z106,18,FALSE)),ROUND(VLOOKUP("2.1.3.2",A4:Z106,18,FALSE),4),0) + IF(ISNA(VLOOKUP("2.1.3.3",A4:Z106,18,FALSE)),0,ROUND(VLOOKUP("2.1.3.3",A4:Z106,18,FALSE),4))) + IF(ISNUMBER(VLOOKUP("10.4",A4:Z106,18,FALSE)),ROUND(VLOOKUP("10.4",A4:Z106,18,FALSE),4),0)) / (IF(ISNUMBER(VLOOKUP("1.1",A4:Z106,18,FALSE)),ROUND(VLOOKUP("1.1",A4:Z106,18,FALSE),4),0) - IF(ISNUMBER(VLOOKUP("1.1.4",A4:Z106,18,FALSE)),ROUND(VLOOKUP("1.1.4",A4:Z106,18,FALSE),4),0) - IF(ISNA(VLOOKUP("11.1.1",A4:Z106,18,FALSE)),0,ROUND(VLOOKUP("11.1.1",A4:Z106,18,FALSE),4)))</f>
        <v>4.0213437452667915E-2</v>
      </c>
      <c r="S63" s="17">
        <f>(IF(ISNUMBER(VLOOKUP("5.1",A4:Z106,19,FALSE)),ROUND(VLOOKUP("5.1",A4:Z106,19,FALSE),4),0) - IF(ISNUMBER(VLOOKUP("5.1.1",A4:Z106,19,FALSE)),ROUND(VLOOKUP("5.1.1",A4:Z106,19,FALSE),4),0) + IF(ISNUMBER(VLOOKUP("10.7.2.1",A4:Z106,19,FALSE)),ROUND(VLOOKUP("10.7.2.1",A4:Z106,19,FALSE),4),0) - IF(ISNUMBER(VLOOKUP("10.9",A4:Z106,19,FALSE)),ROUND(VLOOKUP("10.9",A4:Z106,19,FALSE),4),0) + IF(ISNUMBER(VLOOKUP("2.1.2",A4:Z106,19,FALSE)),ROUND(VLOOKUP("2.1.2",A4:Z106,19,FALSE),4),0) - IF(ISNUMBER(VLOOKUP("2.1.2.1",A4:Z106,19,FALSE)),ROUND(VLOOKUP("2.1.2.1",A4:Z106,19,FALSE),4),0) + IF(ISNUMBER(VLOOKUP("2.1.3",A4:Z106,19,FALSE)),ROUND(VLOOKUP("2.1.3",A4:Z106,19,FALSE),4),0) - (IF(ISNUMBER(VLOOKUP("2.1.3.1",A4:Z106,19,FALSE)),ROUND(VLOOKUP("2.1.3.1",A4:Z106,19,FALSE),4),0) + IF(ISNUMBER(VLOOKUP("2.1.3.2",A4:Z106,19,FALSE)),ROUND(VLOOKUP("2.1.3.2",A4:Z106,19,FALSE),4),0) + IF(ISNA(VLOOKUP("2.1.3.3",A4:Z106,19,FALSE)),0,ROUND(VLOOKUP("2.1.3.3",A4:Z106,19,FALSE),4))) + IF(ISNUMBER(VLOOKUP("10.4",A4:Z106,19,FALSE)),ROUND(VLOOKUP("10.4",A4:Z106,19,FALSE),4),0)) / (IF(ISNUMBER(VLOOKUP("1.1",A4:Z106,19,FALSE)),ROUND(VLOOKUP("1.1",A4:Z106,19,FALSE),4),0) - IF(ISNUMBER(VLOOKUP("1.1.4",A4:Z106,19,FALSE)),ROUND(VLOOKUP("1.1.4",A4:Z106,19,FALSE),4),0) - IF(ISNA(VLOOKUP("11.1.1",A4:Z106,19,FALSE)),0,ROUND(VLOOKUP("11.1.1",A4:Z106,19,FALSE),4)))</f>
        <v>3.4878477108061426E-2</v>
      </c>
      <c r="T63" s="17">
        <f>(IF(ISNUMBER(VLOOKUP("5.1",A4:Z106,20,FALSE)),ROUND(VLOOKUP("5.1",A4:Z106,20,FALSE),4),0) - IF(ISNUMBER(VLOOKUP("5.1.1",A4:Z106,20,FALSE)),ROUND(VLOOKUP("5.1.1",A4:Z106,20,FALSE),4),0) + IF(ISNUMBER(VLOOKUP("10.7.2.1",A4:Z106,20,FALSE)),ROUND(VLOOKUP("10.7.2.1",A4:Z106,20,FALSE),4),0) - IF(ISNUMBER(VLOOKUP("10.9",A4:Z106,20,FALSE)),ROUND(VLOOKUP("10.9",A4:Z106,20,FALSE),4),0) + IF(ISNUMBER(VLOOKUP("2.1.2",A4:Z106,20,FALSE)),ROUND(VLOOKUP("2.1.2",A4:Z106,20,FALSE),4),0) - IF(ISNUMBER(VLOOKUP("2.1.2.1",A4:Z106,20,FALSE)),ROUND(VLOOKUP("2.1.2.1",A4:Z106,20,FALSE),4),0) + IF(ISNUMBER(VLOOKUP("2.1.3",A4:Z106,20,FALSE)),ROUND(VLOOKUP("2.1.3",A4:Z106,20,FALSE),4),0) - (IF(ISNUMBER(VLOOKUP("2.1.3.1",A4:Z106,20,FALSE)),ROUND(VLOOKUP("2.1.3.1",A4:Z106,20,FALSE),4),0) + IF(ISNUMBER(VLOOKUP("2.1.3.2",A4:Z106,20,FALSE)),ROUND(VLOOKUP("2.1.3.2",A4:Z106,20,FALSE),4),0) + IF(ISNA(VLOOKUP("2.1.3.3",A4:Z106,20,FALSE)),0,ROUND(VLOOKUP("2.1.3.3",A4:Z106,20,FALSE),4))) + IF(ISNUMBER(VLOOKUP("10.4",A4:Z106,20,FALSE)),ROUND(VLOOKUP("10.4",A4:Z106,20,FALSE),4),0)) / (IF(ISNUMBER(VLOOKUP("1.1",A4:Z106,20,FALSE)),ROUND(VLOOKUP("1.1",A4:Z106,20,FALSE),4),0) - IF(ISNUMBER(VLOOKUP("1.1.4",A4:Z106,20,FALSE)),ROUND(VLOOKUP("1.1.4",A4:Z106,20,FALSE),4),0) - IF(ISNA(VLOOKUP("11.1.1",A4:Z106,20,FALSE)),0,ROUND(VLOOKUP("11.1.1",A4:Z106,20,FALSE),4)))</f>
        <v>3.3203428612497261E-2</v>
      </c>
      <c r="U63" s="17">
        <f>(IF(ISNUMBER(VLOOKUP("5.1",A4:Z106,21,FALSE)),ROUND(VLOOKUP("5.1",A4:Z106,21,FALSE),4),0) - IF(ISNUMBER(VLOOKUP("5.1.1",A4:Z106,21,FALSE)),ROUND(VLOOKUP("5.1.1",A4:Z106,21,FALSE),4),0) + IF(ISNUMBER(VLOOKUP("10.7.2.1",A4:Z106,21,FALSE)),ROUND(VLOOKUP("10.7.2.1",A4:Z106,21,FALSE),4),0) - IF(ISNUMBER(VLOOKUP("10.9",A4:Z106,21,FALSE)),ROUND(VLOOKUP("10.9",A4:Z106,21,FALSE),4),0) + IF(ISNUMBER(VLOOKUP("2.1.2",A4:Z106,21,FALSE)),ROUND(VLOOKUP("2.1.2",A4:Z106,21,FALSE),4),0) - IF(ISNUMBER(VLOOKUP("2.1.2.1",A4:Z106,21,FALSE)),ROUND(VLOOKUP("2.1.2.1",A4:Z106,21,FALSE),4),0) + IF(ISNUMBER(VLOOKUP("2.1.3",A4:Z106,21,FALSE)),ROUND(VLOOKUP("2.1.3",A4:Z106,21,FALSE),4),0) - (IF(ISNUMBER(VLOOKUP("2.1.3.1",A4:Z106,21,FALSE)),ROUND(VLOOKUP("2.1.3.1",A4:Z106,21,FALSE),4),0) + IF(ISNUMBER(VLOOKUP("2.1.3.2",A4:Z106,21,FALSE)),ROUND(VLOOKUP("2.1.3.2",A4:Z106,21,FALSE),4),0) + IF(ISNA(VLOOKUP("2.1.3.3",A4:Z106,21,FALSE)),0,ROUND(VLOOKUP("2.1.3.3",A4:Z106,21,FALSE),4))) + IF(ISNUMBER(VLOOKUP("10.4",A4:Z106,21,FALSE)),ROUND(VLOOKUP("10.4",A4:Z106,21,FALSE),4),0)) / (IF(ISNUMBER(VLOOKUP("1.1",A4:Z106,21,FALSE)),ROUND(VLOOKUP("1.1",A4:Z106,21,FALSE),4),0) - IF(ISNUMBER(VLOOKUP("1.1.4",A4:Z106,21,FALSE)),ROUND(VLOOKUP("1.1.4",A4:Z106,21,FALSE),4),0) - IF(ISNA(VLOOKUP("11.1.1",A4:Z106,21,FALSE)),0,ROUND(VLOOKUP("11.1.1",A4:Z106,21,FALSE),4)))</f>
        <v>6.1075689560371925E-2</v>
      </c>
      <c r="V63" s="17">
        <f>(IF(ISNUMBER(VLOOKUP("5.1",A4:Z106,22,FALSE)),ROUND(VLOOKUP("5.1",A4:Z106,22,FALSE),4),0) - IF(ISNUMBER(VLOOKUP("5.1.1",A4:Z106,22,FALSE)),ROUND(VLOOKUP("5.1.1",A4:Z106,22,FALSE),4),0) + IF(ISNUMBER(VLOOKUP("10.7.2.1",A4:Z106,22,FALSE)),ROUND(VLOOKUP("10.7.2.1",A4:Z106,22,FALSE),4),0) - IF(ISNUMBER(VLOOKUP("10.9",A4:Z106,22,FALSE)),ROUND(VLOOKUP("10.9",A4:Z106,22,FALSE),4),0) + IF(ISNUMBER(VLOOKUP("2.1.2",A4:Z106,22,FALSE)),ROUND(VLOOKUP("2.1.2",A4:Z106,22,FALSE),4),0) - IF(ISNUMBER(VLOOKUP("2.1.2.1",A4:Z106,22,FALSE)),ROUND(VLOOKUP("2.1.2.1",A4:Z106,22,FALSE),4),0) + IF(ISNUMBER(VLOOKUP("2.1.3",A4:Z106,22,FALSE)),ROUND(VLOOKUP("2.1.3",A4:Z106,22,FALSE),4),0) - (IF(ISNUMBER(VLOOKUP("2.1.3.1",A4:Z106,22,FALSE)),ROUND(VLOOKUP("2.1.3.1",A4:Z106,22,FALSE),4),0) + IF(ISNUMBER(VLOOKUP("2.1.3.2",A4:Z106,22,FALSE)),ROUND(VLOOKUP("2.1.3.2",A4:Z106,22,FALSE),4),0) + IF(ISNA(VLOOKUP("2.1.3.3",A4:Z106,22,FALSE)),0,ROUND(VLOOKUP("2.1.3.3",A4:Z106,22,FALSE),4))) + IF(ISNUMBER(VLOOKUP("10.4",A4:Z106,22,FALSE)),ROUND(VLOOKUP("10.4",A4:Z106,22,FALSE),4),0)) / (IF(ISNUMBER(VLOOKUP("1.1",A4:Z106,22,FALSE)),ROUND(VLOOKUP("1.1",A4:Z106,22,FALSE),4),0) - IF(ISNUMBER(VLOOKUP("1.1.4",A4:Z106,22,FALSE)),ROUND(VLOOKUP("1.1.4",A4:Z106,22,FALSE),4),0) - IF(ISNA(VLOOKUP("11.1.1",A4:Z106,22,FALSE)),0,ROUND(VLOOKUP("11.1.1",A4:Z106,22,FALSE),4)))</f>
        <v>5.2284157744301916E-2</v>
      </c>
      <c r="W63" s="17">
        <f>(IF(ISNUMBER(VLOOKUP("5.1",A4:Z106,23,FALSE)),ROUND(VLOOKUP("5.1",A4:Z106,23,FALSE),4),0) - IF(ISNUMBER(VLOOKUP("5.1.1",A4:Z106,23,FALSE)),ROUND(VLOOKUP("5.1.1",A4:Z106,23,FALSE),4),0) + IF(ISNUMBER(VLOOKUP("10.7.2.1",A4:Z106,23,FALSE)),ROUND(VLOOKUP("10.7.2.1",A4:Z106,23,FALSE),4),0) - IF(ISNUMBER(VLOOKUP("10.9",A4:Z106,23,FALSE)),ROUND(VLOOKUP("10.9",A4:Z106,23,FALSE),4),0) + IF(ISNUMBER(VLOOKUP("2.1.2",A4:Z106,23,FALSE)),ROUND(VLOOKUP("2.1.2",A4:Z106,23,FALSE),4),0) - IF(ISNUMBER(VLOOKUP("2.1.2.1",A4:Z106,23,FALSE)),ROUND(VLOOKUP("2.1.2.1",A4:Z106,23,FALSE),4),0) + IF(ISNUMBER(VLOOKUP("2.1.3",A4:Z106,23,FALSE)),ROUND(VLOOKUP("2.1.3",A4:Z106,23,FALSE),4),0) - (IF(ISNUMBER(VLOOKUP("2.1.3.1",A4:Z106,23,FALSE)),ROUND(VLOOKUP("2.1.3.1",A4:Z106,23,FALSE),4),0) + IF(ISNUMBER(VLOOKUP("2.1.3.2",A4:Z106,23,FALSE)),ROUND(VLOOKUP("2.1.3.2",A4:Z106,23,FALSE),4),0) + IF(ISNA(VLOOKUP("2.1.3.3",A4:Z106,23,FALSE)),0,ROUND(VLOOKUP("2.1.3.3",A4:Z106,23,FALSE),4))) + IF(ISNUMBER(VLOOKUP("10.4",A4:Z106,23,FALSE)),ROUND(VLOOKUP("10.4",A4:Z106,23,FALSE),4),0)) / (IF(ISNUMBER(VLOOKUP("1.1",A4:Z106,23,FALSE)),ROUND(VLOOKUP("1.1",A4:Z106,23,FALSE),4),0) - IF(ISNUMBER(VLOOKUP("1.1.4",A4:Z106,23,FALSE)),ROUND(VLOOKUP("1.1.4",A4:Z106,23,FALSE),4),0) - IF(ISNA(VLOOKUP("11.1.1",A4:Z106,23,FALSE)),0,ROUND(VLOOKUP("11.1.1",A4:Z106,23,FALSE),4)))</f>
        <v>3.1387277392614231E-2</v>
      </c>
      <c r="X63" s="17">
        <f>(IF(ISNUMBER(VLOOKUP("5.1",A4:Z106,24,FALSE)),ROUND(VLOOKUP("5.1",A4:Z106,24,FALSE),4),0) - IF(ISNUMBER(VLOOKUP("5.1.1",A4:Z106,24,FALSE)),ROUND(VLOOKUP("5.1.1",A4:Z106,24,FALSE),4),0) + IF(ISNUMBER(VLOOKUP("10.7.2.1",A4:Z106,24,FALSE)),ROUND(VLOOKUP("10.7.2.1",A4:Z106,24,FALSE),4),0) - IF(ISNUMBER(VLOOKUP("10.9",A4:Z106,24,FALSE)),ROUND(VLOOKUP("10.9",A4:Z106,24,FALSE),4),0) + IF(ISNUMBER(VLOOKUP("2.1.2",A4:Z106,24,FALSE)),ROUND(VLOOKUP("2.1.2",A4:Z106,24,FALSE),4),0) - IF(ISNUMBER(VLOOKUP("2.1.2.1",A4:Z106,24,FALSE)),ROUND(VLOOKUP("2.1.2.1",A4:Z106,24,FALSE),4),0) + IF(ISNUMBER(VLOOKUP("2.1.3",A4:Z106,24,FALSE)),ROUND(VLOOKUP("2.1.3",A4:Z106,24,FALSE),4),0) - (IF(ISNUMBER(VLOOKUP("2.1.3.1",A4:Z106,24,FALSE)),ROUND(VLOOKUP("2.1.3.1",A4:Z106,24,FALSE),4),0) + IF(ISNUMBER(VLOOKUP("2.1.3.2",A4:Z106,24,FALSE)),ROUND(VLOOKUP("2.1.3.2",A4:Z106,24,FALSE),4),0) + IF(ISNA(VLOOKUP("2.1.3.3",A4:Z106,24,FALSE)),0,ROUND(VLOOKUP("2.1.3.3",A4:Z106,24,FALSE),4))) + IF(ISNUMBER(VLOOKUP("10.4",A4:Z106,24,FALSE)),ROUND(VLOOKUP("10.4",A4:Z106,24,FALSE),4),0)) / (IF(ISNUMBER(VLOOKUP("1.1",A4:Z106,24,FALSE)),ROUND(VLOOKUP("1.1",A4:Z106,24,FALSE),4),0) - IF(ISNUMBER(VLOOKUP("1.1.4",A4:Z106,24,FALSE)),ROUND(VLOOKUP("1.1.4",A4:Z106,24,FALSE),4),0) - IF(ISNA(VLOOKUP("11.1.1",A4:Z106,24,FALSE)),0,ROUND(VLOOKUP("11.1.1",A4:Z106,24,FALSE),4)))</f>
        <v>4.7737720780984018E-2</v>
      </c>
      <c r="Y63" s="17">
        <f>(IF(ISNUMBER(VLOOKUP("5.1",A4:Z106,25,FALSE)),ROUND(VLOOKUP("5.1",A4:Z106,25,FALSE),4),0) - IF(ISNUMBER(VLOOKUP("5.1.1",A4:Z106,25,FALSE)),ROUND(VLOOKUP("5.1.1",A4:Z106,25,FALSE),4),0) + IF(ISNUMBER(VLOOKUP("10.7.2.1",A4:Z106,25,FALSE)),ROUND(VLOOKUP("10.7.2.1",A4:Z106,25,FALSE),4),0) - IF(ISNUMBER(VLOOKUP("10.9",A4:Z106,25,FALSE)),ROUND(VLOOKUP("10.9",A4:Z106,25,FALSE),4),0) + IF(ISNUMBER(VLOOKUP("2.1.2",A4:Z106,25,FALSE)),ROUND(VLOOKUP("2.1.2",A4:Z106,25,FALSE),4),0) - IF(ISNUMBER(VLOOKUP("2.1.2.1",A4:Z106,25,FALSE)),ROUND(VLOOKUP("2.1.2.1",A4:Z106,25,FALSE),4),0) + IF(ISNUMBER(VLOOKUP("2.1.3",A4:Z106,25,FALSE)),ROUND(VLOOKUP("2.1.3",A4:Z106,25,FALSE),4),0) - (IF(ISNUMBER(VLOOKUP("2.1.3.1",A4:Z106,25,FALSE)),ROUND(VLOOKUP("2.1.3.1",A4:Z106,25,FALSE),4),0) + IF(ISNUMBER(VLOOKUP("2.1.3.2",A4:Z106,25,FALSE)),ROUND(VLOOKUP("2.1.3.2",A4:Z106,25,FALSE),4),0) + IF(ISNA(VLOOKUP("2.1.3.3",A4:Z106,25,FALSE)),0,ROUND(VLOOKUP("2.1.3.3",A4:Z106,25,FALSE),4))) + IF(ISNUMBER(VLOOKUP("10.4",A4:Z106,25,FALSE)),ROUND(VLOOKUP("10.4",A4:Z106,25,FALSE),4),0)) / (IF(ISNUMBER(VLOOKUP("1.1",A4:Z106,25,FALSE)),ROUND(VLOOKUP("1.1",A4:Z106,25,FALSE),4),0) - IF(ISNUMBER(VLOOKUP("1.1.4",A4:Z106,25,FALSE)),ROUND(VLOOKUP("1.1.4",A4:Z106,25,FALSE),4),0) - IF(ISNA(VLOOKUP("11.1.1",A4:Z106,25,FALSE)),0,ROUND(VLOOKUP("11.1.1",A4:Z106,25,FALSE),4)))</f>
        <v>3.9272428774017494E-2</v>
      </c>
      <c r="Z63" s="17">
        <f>(IF(ISNUMBER(VLOOKUP("5.1",A4:Z106,26,FALSE)),ROUND(VLOOKUP("5.1",A4:Z106,26,FALSE),4),0) - IF(ISNUMBER(VLOOKUP("5.1.1",A4:Z106,26,FALSE)),ROUND(VLOOKUP("5.1.1",A4:Z106,26,FALSE),4),0) + IF(ISNUMBER(VLOOKUP("10.7.2.1",A4:Z106,26,FALSE)),ROUND(VLOOKUP("10.7.2.1",A4:Z106,26,FALSE),4),0) - IF(ISNUMBER(VLOOKUP("10.9",A4:Z106,26,FALSE)),ROUND(VLOOKUP("10.9",A4:Z106,26,FALSE),4),0) + IF(ISNUMBER(VLOOKUP("2.1.2",A4:Z106,26,FALSE)),ROUND(VLOOKUP("2.1.2",A4:Z106,26,FALSE),4),0) - IF(ISNUMBER(VLOOKUP("2.1.2.1",A4:Z106,26,FALSE)),ROUND(VLOOKUP("2.1.2.1",A4:Z106,26,FALSE),4),0) + IF(ISNUMBER(VLOOKUP("2.1.3",A4:Z106,26,FALSE)),ROUND(VLOOKUP("2.1.3",A4:Z106,26,FALSE),4),0) - (IF(ISNUMBER(VLOOKUP("2.1.3.1",A4:Z106,26,FALSE)),ROUND(VLOOKUP("2.1.3.1",A4:Z106,26,FALSE),4),0) + IF(ISNUMBER(VLOOKUP("2.1.3.2",A4:Z106,26,FALSE)),ROUND(VLOOKUP("2.1.3.2",A4:Z106,26,FALSE),4),0) + IF(ISNA(VLOOKUP("2.1.3.3",A4:Z106,26,FALSE)),0,ROUND(VLOOKUP("2.1.3.3",A4:Z106,26,FALSE),4))) + IF(ISNUMBER(VLOOKUP("10.4",A4:Z106,26,FALSE)),ROUND(VLOOKUP("10.4",A4:Z106,26,FALSE),4),0)) / (IF(ISNUMBER(VLOOKUP("1.1",A4:Z106,26,FALSE)),ROUND(VLOOKUP("1.1",A4:Z106,26,FALSE),4),0) - IF(ISNUMBER(VLOOKUP("1.1.4",A4:Z106,26,FALSE)),ROUND(VLOOKUP("1.1.4",A4:Z106,26,FALSE),4),0) - IF(ISNA(VLOOKUP("11.1.1",A4:Z106,26,FALSE)),0,ROUND(VLOOKUP("11.1.1",A4:Z106,26,FALSE),4)))</f>
        <v>4.1115937643191852E-2</v>
      </c>
    </row>
    <row r="64" spans="1:26" ht="39.9" customHeight="1" x14ac:dyDescent="0.3">
      <c r="A64" s="14" t="s">
        <v>140</v>
      </c>
      <c r="B64" s="15" t="s">
        <v>141</v>
      </c>
      <c r="C64" s="16">
        <f>((IF(ISNUMBER(VLOOKUP("1.1",A4:Z106,3,FALSE)),ROUND(VLOOKUP("1.1",A4:Z106,3,FALSE),4),0) - IF(ISNUMBER(VLOOKUP("9.1.1",A4:Z106,3,FALSE)),ROUND(VLOOKUP("9.1.1",A4:Z106,3,FALSE),4),0) - IF(ISNA(VLOOKUP("11.1.1",A4:Z106,3,FALSE)),0,ROUND(VLOOKUP("11.1.1",A4:Z106,3,FALSE),4))) - (IF(ISNUMBER(VLOOKUP("2.1",A4:Z106,3,FALSE)),ROUND(VLOOKUP("2.1",A4:Z106,3,FALSE),4),0) - IF(ISNUMBER(VLOOKUP("9.3.1",A4:Z106,3,FALSE)),ROUND(VLOOKUP("9.3.1",A4:Z106,3,FALSE),4),0) - IF(ISNUMBER(VLOOKUP("10.7.2.1.1",A4:Z106,3,FALSE)),ROUND(VLOOKUP("10.7.2.1.1",A4:Z106,3,FALSE),4),0) - IF(ISNUMBER(VLOOKUP("2.1.3",A4:Z106,3,FALSE)),ROUND(VLOOKUP("2.1.3",A4:Z106,3,FALSE),4),0) - IF(ISNA(VLOOKUP("10.11",A4:Z106,3,FALSE)),0,ROUND(VLOOKUP("10.11",A4:Z106,3,FALSE),4)))) / (IF(ISNUMBER(VLOOKUP("1.1",A4:Z106,3,FALSE)),ROUND(VLOOKUP("1.1",A4:Z106,3,FALSE),4),0) - IF(ISNUMBER(VLOOKUP("1.1.4",A4:Z106,3,FALSE)),ROUND(VLOOKUP("1.1.4",A4:Z106,3,FALSE),4),0) - IF(ISNA(VLOOKUP("11.1.1",A4:Z106,3,FALSE)),0,ROUND(VLOOKUP("11.1.1",A4:Z106,3,FALSE),4)))</f>
        <v>0.16039335536509461</v>
      </c>
      <c r="D64" s="16">
        <f>((IF(ISNUMBER(VLOOKUP("1.1",A4:Z106,4,FALSE)),ROUND(VLOOKUP("1.1",A4:Z106,4,FALSE),4),0) - IF(ISNUMBER(VLOOKUP("9.1.1",A4:Z106,4,FALSE)),ROUND(VLOOKUP("9.1.1",A4:Z106,4,FALSE),4),0) - IF(ISNA(VLOOKUP("11.1.1",A4:Z106,4,FALSE)),0,ROUND(VLOOKUP("11.1.1",A4:Z106,4,FALSE),4))) - (IF(ISNUMBER(VLOOKUP("2.1",A4:Z106,4,FALSE)),ROUND(VLOOKUP("2.1",A4:Z106,4,FALSE),4),0) - IF(ISNUMBER(VLOOKUP("9.3.1",A4:Z106,4,FALSE)),ROUND(VLOOKUP("9.3.1",A4:Z106,4,FALSE),4),0) - IF(ISNUMBER(VLOOKUP("10.7.2.1.1",A4:Z106,4,FALSE)),ROUND(VLOOKUP("10.7.2.1.1",A4:Z106,4,FALSE),4),0) - IF(ISNUMBER(VLOOKUP("2.1.3",A4:Z106,4,FALSE)),ROUND(VLOOKUP("2.1.3",A4:Z106,4,FALSE),4),0) - IF(ISNA(VLOOKUP("10.11",A4:Z106,4,FALSE)),0,ROUND(VLOOKUP("10.11",A4:Z106,4,FALSE),4)))) / (IF(ISNUMBER(VLOOKUP("1.1",A4:Z106,4,FALSE)),ROUND(VLOOKUP("1.1",A4:Z106,4,FALSE),4),0) - IF(ISNUMBER(VLOOKUP("1.1.4",A4:Z106,4,FALSE)),ROUND(VLOOKUP("1.1.4",A4:Z106,4,FALSE),4),0) - IF(ISNA(VLOOKUP("11.1.1",A4:Z106,4,FALSE)),0,ROUND(VLOOKUP("11.1.1",A4:Z106,4,FALSE),4)))</f>
        <v>0.14210511813431065</v>
      </c>
      <c r="E64" s="16">
        <f>((IF(ISNUMBER(VLOOKUP("1.1",A4:Z106,5,FALSE)),ROUND(VLOOKUP("1.1",A4:Z106,5,FALSE),4),0) - IF(ISNUMBER(VLOOKUP("9.1.1",A4:Z106,5,FALSE)),ROUND(VLOOKUP("9.1.1",A4:Z106,5,FALSE),4),0) - IF(ISNA(VLOOKUP("11.1.1",A4:Z106,5,FALSE)),0,ROUND(VLOOKUP("11.1.1",A4:Z106,5,FALSE),4))) - (IF(ISNUMBER(VLOOKUP("2.1",A4:Z106,5,FALSE)),ROUND(VLOOKUP("2.1",A4:Z106,5,FALSE),4),0) - IF(ISNUMBER(VLOOKUP("9.3.1",A4:Z106,5,FALSE)),ROUND(VLOOKUP("9.3.1",A4:Z106,5,FALSE),4),0) - IF(ISNUMBER(VLOOKUP("10.7.2.1.1",A4:Z106,5,FALSE)),ROUND(VLOOKUP("10.7.2.1.1",A4:Z106,5,FALSE),4),0) - IF(ISNUMBER(VLOOKUP("2.1.3",A4:Z106,5,FALSE)),ROUND(VLOOKUP("2.1.3",A4:Z106,5,FALSE),4),0) - IF(ISNA(VLOOKUP("10.11",A4:Z106,5,FALSE)),0,ROUND(VLOOKUP("10.11",A4:Z106,5,FALSE),4)))) / (IF(ISNUMBER(VLOOKUP("1.1",A4:Z106,5,FALSE)),ROUND(VLOOKUP("1.1",A4:Z106,5,FALSE),4),0) - IF(ISNUMBER(VLOOKUP("1.1.4",A4:Z106,5,FALSE)),ROUND(VLOOKUP("1.1.4",A4:Z106,5,FALSE),4),0) - IF(ISNA(VLOOKUP("11.1.1",A4:Z106,5,FALSE)),0,ROUND(VLOOKUP("11.1.1",A4:Z106,5,FALSE),4)))</f>
        <v>0.1970585959102803</v>
      </c>
      <c r="F64" s="16">
        <f>((IF(ISNUMBER(VLOOKUP("1.1",A4:Z106,6,FALSE)),ROUND(VLOOKUP("1.1",A4:Z106,6,FALSE),4),0) - IF(ISNUMBER(VLOOKUP("9.1.1",A4:Z106,6,FALSE)),ROUND(VLOOKUP("9.1.1",A4:Z106,6,FALSE),4),0) - IF(ISNA(VLOOKUP("11.1.1",A4:Z106,6,FALSE)),0,ROUND(VLOOKUP("11.1.1",A4:Z106,6,FALSE),4))) - (IF(ISNUMBER(VLOOKUP("2.1",A4:Z106,6,FALSE)),ROUND(VLOOKUP("2.1",A4:Z106,6,FALSE),4),0) - IF(ISNUMBER(VLOOKUP("9.3.1",A4:Z106,6,FALSE)),ROUND(VLOOKUP("9.3.1",A4:Z106,6,FALSE),4),0) - IF(ISNUMBER(VLOOKUP("10.7.2.1.1",A4:Z106,6,FALSE)),ROUND(VLOOKUP("10.7.2.1.1",A4:Z106,6,FALSE),4),0) - IF(ISNUMBER(VLOOKUP("2.1.3",A4:Z106,6,FALSE)),ROUND(VLOOKUP("2.1.3",A4:Z106,6,FALSE),4),0) - IF(ISNA(VLOOKUP("10.11",A4:Z106,6,FALSE)),0,ROUND(VLOOKUP("10.11",A4:Z106,6,FALSE),4)))) / (IF(ISNUMBER(VLOOKUP("1.1",A4:Z106,6,FALSE)),ROUND(VLOOKUP("1.1",A4:Z106,6,FALSE),4),0) - IF(ISNUMBER(VLOOKUP("1.1.4",A4:Z106,6,FALSE)),ROUND(VLOOKUP("1.1.4",A4:Z106,6,FALSE),4),0) - IF(ISNA(VLOOKUP("11.1.1",A4:Z106,6,FALSE)),0,ROUND(VLOOKUP("11.1.1",A4:Z106,6,FALSE),4)))</f>
        <v>0.15626298759754512</v>
      </c>
      <c r="G64" s="16">
        <f>((IF(ISNUMBER(VLOOKUP("1.1",A4:Z106,7,FALSE)),ROUND(VLOOKUP("1.1",A4:Z106,7,FALSE),4),0) - IF(ISNUMBER(VLOOKUP("9.1.1",A4:Z106,7,FALSE)),ROUND(VLOOKUP("9.1.1",A4:Z106,7,FALSE),4),0) - IF(ISNA(VLOOKUP("11.1.1",A4:Z106,7,FALSE)),0,ROUND(VLOOKUP("11.1.1",A4:Z106,7,FALSE),4))) - (IF(ISNUMBER(VLOOKUP("2.1",A4:Z106,7,FALSE)),ROUND(VLOOKUP("2.1",A4:Z106,7,FALSE),4),0) - IF(ISNUMBER(VLOOKUP("9.3.1",A4:Z106,7,FALSE)),ROUND(VLOOKUP("9.3.1",A4:Z106,7,FALSE),4),0) - IF(ISNUMBER(VLOOKUP("10.7.2.1.1",A4:Z106,7,FALSE)),ROUND(VLOOKUP("10.7.2.1.1",A4:Z106,7,FALSE),4),0) - IF(ISNUMBER(VLOOKUP("2.1.3",A4:Z106,7,FALSE)),ROUND(VLOOKUP("2.1.3",A4:Z106,7,FALSE),4),0) - IF(ISNA(VLOOKUP("10.11",A4:Z106,7,FALSE)),0,ROUND(VLOOKUP("10.11",A4:Z106,7,FALSE),4)))) / (IF(ISNUMBER(VLOOKUP("1.1",A4:Z106,7,FALSE)),ROUND(VLOOKUP("1.1",A4:Z106,7,FALSE),4),0) - IF(ISNUMBER(VLOOKUP("1.1.4",A4:Z106,7,FALSE)),ROUND(VLOOKUP("1.1.4",A4:Z106,7,FALSE),4),0) - IF(ISNA(VLOOKUP("11.1.1",A4:Z106,7,FALSE)),0,ROUND(VLOOKUP("11.1.1",A4:Z106,7,FALSE),4)))</f>
        <v>0.10844697857041222</v>
      </c>
      <c r="H64" s="16">
        <f>((IF(ISNUMBER(VLOOKUP("1.1",A4:Z106,8,FALSE)),ROUND(VLOOKUP("1.1",A4:Z106,8,FALSE),4),0) - IF(ISNUMBER(VLOOKUP("9.1.1",A4:Z106,8,FALSE)),ROUND(VLOOKUP("9.1.1",A4:Z106,8,FALSE),4),0) - IF(ISNA(VLOOKUP("11.1.1",A4:Z106,8,FALSE)),0,ROUND(VLOOKUP("11.1.1",A4:Z106,8,FALSE),4))) - (IF(ISNUMBER(VLOOKUP("2.1",A4:Z106,8,FALSE)),ROUND(VLOOKUP("2.1",A4:Z106,8,FALSE),4),0) - IF(ISNUMBER(VLOOKUP("9.3.1",A4:Z106,8,FALSE)),ROUND(VLOOKUP("9.3.1",A4:Z106,8,FALSE),4),0) - IF(ISNUMBER(VLOOKUP("10.7.2.1.1",A4:Z106,8,FALSE)),ROUND(VLOOKUP("10.7.2.1.1",A4:Z106,8,FALSE),4),0) - IF(ISNUMBER(VLOOKUP("2.1.3",A4:Z106,8,FALSE)),ROUND(VLOOKUP("2.1.3",A4:Z106,8,FALSE),4),0) - IF(ISNA(VLOOKUP("10.11",A4:Z106,8,FALSE)),0,ROUND(VLOOKUP("10.11",A4:Z106,8,FALSE),4)))) / (IF(ISNUMBER(VLOOKUP("1.1",A4:Z106,8,FALSE)),ROUND(VLOOKUP("1.1",A4:Z106,8,FALSE),4),0) - IF(ISNUMBER(VLOOKUP("1.1.4",A4:Z106,8,FALSE)),ROUND(VLOOKUP("1.1.4",A4:Z106,8,FALSE),4),0) - IF(ISNA(VLOOKUP("11.1.1",A4:Z106,8,FALSE)),0,ROUND(VLOOKUP("11.1.1",A4:Z106,8,FALSE),4)))</f>
        <v>4.2383924405044543E-2</v>
      </c>
      <c r="I64" s="16">
        <f>((IF(ISNUMBER(VLOOKUP("1.1",A4:Z106,9,FALSE)),ROUND(VLOOKUP("1.1",A4:Z106,9,FALSE),4),0) - IF(ISNUMBER(VLOOKUP("9.1.1",A4:Z106,9,FALSE)),ROUND(VLOOKUP("9.1.1",A4:Z106,9,FALSE),4),0) - IF(ISNA(VLOOKUP("11.1.1",A4:Z106,9,FALSE)),0,ROUND(VLOOKUP("11.1.1",A4:Z106,9,FALSE),4))) - (IF(ISNUMBER(VLOOKUP("2.1",A4:Z106,9,FALSE)),ROUND(VLOOKUP("2.1",A4:Z106,9,FALSE),4),0) - IF(ISNUMBER(VLOOKUP("9.3.1",A4:Z106,9,FALSE)),ROUND(VLOOKUP("9.3.1",A4:Z106,9,FALSE),4),0) - IF(ISNUMBER(VLOOKUP("10.7.2.1.1",A4:Z106,9,FALSE)),ROUND(VLOOKUP("10.7.2.1.1",A4:Z106,9,FALSE),4),0) - IF(ISNUMBER(VLOOKUP("2.1.3",A4:Z106,9,FALSE)),ROUND(VLOOKUP("2.1.3",A4:Z106,9,FALSE),4),0) - IF(ISNA(VLOOKUP("10.11",A4:Z106,9,FALSE)),0,ROUND(VLOOKUP("10.11",A4:Z106,9,FALSE),4)))) / (IF(ISNUMBER(VLOOKUP("1.1",A4:Z106,9,FALSE)),ROUND(VLOOKUP("1.1",A4:Z106,9,FALSE),4),0) - IF(ISNUMBER(VLOOKUP("1.1.4",A4:Z106,9,FALSE)),ROUND(VLOOKUP("1.1.4",A4:Z106,9,FALSE),4),0) - IF(ISNA(VLOOKUP("11.1.1",A4:Z106,9,FALSE)),0,ROUND(VLOOKUP("11.1.1",A4:Z106,9,FALSE),4)))</f>
        <v>8.0674401636539356E-2</v>
      </c>
      <c r="J64" s="16">
        <f>((IF(ISNUMBER(VLOOKUP("1.1",A4:Z106,10,FALSE)),ROUND(VLOOKUP("1.1",A4:Z106,10,FALSE),4),0) - IF(ISNUMBER(VLOOKUP("9.1.1",A4:Z106,10,FALSE)),ROUND(VLOOKUP("9.1.1",A4:Z106,10,FALSE),4),0) - IF(ISNA(VLOOKUP("11.1.1",A4:Z106,10,FALSE)),0,ROUND(VLOOKUP("11.1.1",A4:Z106,10,FALSE),4))) - (IF(ISNUMBER(VLOOKUP("2.1",A4:Z106,10,FALSE)),ROUND(VLOOKUP("2.1",A4:Z106,10,FALSE),4),0) - IF(ISNUMBER(VLOOKUP("9.3.1",A4:Z106,10,FALSE)),ROUND(VLOOKUP("9.3.1",A4:Z106,10,FALSE),4),0) - IF(ISNUMBER(VLOOKUP("10.7.2.1.1",A4:Z106,10,FALSE)),ROUND(VLOOKUP("10.7.2.1.1",A4:Z106,10,FALSE),4),0) - IF(ISNUMBER(VLOOKUP("2.1.3",A4:Z106,10,FALSE)),ROUND(VLOOKUP("2.1.3",A4:Z106,10,FALSE),4),0) - IF(ISNA(VLOOKUP("10.11",A4:Z106,10,FALSE)),0,ROUND(VLOOKUP("10.11",A4:Z106,10,FALSE),4)))) / (IF(ISNUMBER(VLOOKUP("1.1",A4:Z106,10,FALSE)),ROUND(VLOOKUP("1.1",A4:Z106,10,FALSE),4),0) - IF(ISNUMBER(VLOOKUP("1.1.4",A4:Z106,10,FALSE)),ROUND(VLOOKUP("1.1.4",A4:Z106,10,FALSE),4),0) - IF(ISNA(VLOOKUP("11.1.1",A4:Z106,10,FALSE)),0,ROUND(VLOOKUP("11.1.1",A4:Z106,10,FALSE),4)))</f>
        <v>0.18640357143041134</v>
      </c>
      <c r="K64" s="17">
        <f>((IF(ISNUMBER(VLOOKUP("1.1",A4:Z106,11,FALSE)),ROUND(VLOOKUP("1.1",A4:Z106,11,FALSE),4),0) - IF(ISNUMBER(VLOOKUP("9.1.1",A4:Z106,11,FALSE)),ROUND(VLOOKUP("9.1.1",A4:Z106,11,FALSE),4),0) - IF(ISNA(VLOOKUP("11.1.1",A4:Z106,11,FALSE)),0,ROUND(VLOOKUP("11.1.1",A4:Z106,11,FALSE),4))) - (IF(ISNUMBER(VLOOKUP("2.1",A4:Z106,11,FALSE)),ROUND(VLOOKUP("2.1",A4:Z106,11,FALSE),4),0) - IF(ISNUMBER(VLOOKUP("9.3.1",A4:Z106,11,FALSE)),ROUND(VLOOKUP("9.3.1",A4:Z106,11,FALSE),4),0) - IF(ISNUMBER(VLOOKUP("10.7.2.1.1",A4:Z106,11,FALSE)),ROUND(VLOOKUP("10.7.2.1.1",A4:Z106,11,FALSE),4),0) - IF(ISNUMBER(VLOOKUP("2.1.3",A4:Z106,11,FALSE)),ROUND(VLOOKUP("2.1.3",A4:Z106,11,FALSE),4),0) - IF(ISNA(VLOOKUP("10.11",A4:Z106,11,FALSE)),0,ROUND(VLOOKUP("10.11",A4:Z106,11,FALSE),4)))) / (IF(ISNUMBER(VLOOKUP("1.1",A4:Z106,11,FALSE)),ROUND(VLOOKUP("1.1",A4:Z106,11,FALSE),4),0) - IF(ISNUMBER(VLOOKUP("1.1.4",A4:Z106,11,FALSE)),ROUND(VLOOKUP("1.1.4",A4:Z106,11,FALSE),4),0) - IF(ISNA(VLOOKUP("11.1.1",A4:Z106,11,FALSE)),0,ROUND(VLOOKUP("11.1.1",A4:Z106,11,FALSE),4)))</f>
        <v>0.1215746836223067</v>
      </c>
      <c r="L64" s="17">
        <f>((IF(ISNUMBER(VLOOKUP("1.1",A4:Z106,12,FALSE)),ROUND(VLOOKUP("1.1",A4:Z106,12,FALSE),4),0) - IF(ISNUMBER(VLOOKUP("9.1.1",A4:Z106,12,FALSE)),ROUND(VLOOKUP("9.1.1",A4:Z106,12,FALSE),4),0) - IF(ISNA(VLOOKUP("11.1.1",A4:Z106,12,FALSE)),0,ROUND(VLOOKUP("11.1.1",A4:Z106,12,FALSE),4))) - (IF(ISNUMBER(VLOOKUP("2.1",A4:Z106,12,FALSE)),ROUND(VLOOKUP("2.1",A4:Z106,12,FALSE),4),0) - IF(ISNUMBER(VLOOKUP("9.3.1",A4:Z106,12,FALSE)),ROUND(VLOOKUP("9.3.1",A4:Z106,12,FALSE),4),0) - IF(ISNUMBER(VLOOKUP("10.7.2.1.1",A4:Z106,12,FALSE)),ROUND(VLOOKUP("10.7.2.1.1",A4:Z106,12,FALSE),4),0) - IF(ISNUMBER(VLOOKUP("2.1.3",A4:Z106,12,FALSE)),ROUND(VLOOKUP("2.1.3",A4:Z106,12,FALSE),4),0) - IF(ISNA(VLOOKUP("10.11",A4:Z106,12,FALSE)),0,ROUND(VLOOKUP("10.11",A4:Z106,12,FALSE),4)))) / (IF(ISNUMBER(VLOOKUP("1.1",A4:Z106,12,FALSE)),ROUND(VLOOKUP("1.1",A4:Z106,12,FALSE),4),0) - IF(ISNUMBER(VLOOKUP("1.1.4",A4:Z106,12,FALSE)),ROUND(VLOOKUP("1.1.4",A4:Z106,12,FALSE),4),0) - IF(ISNA(VLOOKUP("11.1.1",A4:Z106,12,FALSE)),0,ROUND(VLOOKUP("11.1.1",A4:Z106,12,FALSE),4)))</f>
        <v>0.12241625051253661</v>
      </c>
      <c r="M64" s="17">
        <f>((IF(ISNUMBER(VLOOKUP("1.1",A4:Z106,13,FALSE)),ROUND(VLOOKUP("1.1",A4:Z106,13,FALSE),4),0) - IF(ISNUMBER(VLOOKUP("9.1.1",A4:Z106,13,FALSE)),ROUND(VLOOKUP("9.1.1",A4:Z106,13,FALSE),4),0) - IF(ISNA(VLOOKUP("11.1.1",A4:Z106,13,FALSE)),0,ROUND(VLOOKUP("11.1.1",A4:Z106,13,FALSE),4))) - (IF(ISNUMBER(VLOOKUP("2.1",A4:Z106,13,FALSE)),ROUND(VLOOKUP("2.1",A4:Z106,13,FALSE),4),0) - IF(ISNUMBER(VLOOKUP("9.3.1",A4:Z106,13,FALSE)),ROUND(VLOOKUP("9.3.1",A4:Z106,13,FALSE),4),0) - IF(ISNUMBER(VLOOKUP("10.7.2.1.1",A4:Z106,13,FALSE)),ROUND(VLOOKUP("10.7.2.1.1",A4:Z106,13,FALSE),4),0) - IF(ISNUMBER(VLOOKUP("2.1.3",A4:Z106,13,FALSE)),ROUND(VLOOKUP("2.1.3",A4:Z106,13,FALSE),4),0) - IF(ISNA(VLOOKUP("10.11",A4:Z106,13,FALSE)),0,ROUND(VLOOKUP("10.11",A4:Z106,13,FALSE),4)))) / (IF(ISNUMBER(VLOOKUP("1.1",A4:Z106,13,FALSE)),ROUND(VLOOKUP("1.1",A4:Z106,13,FALSE),4),0) - IF(ISNUMBER(VLOOKUP("1.1.4",A4:Z106,13,FALSE)),ROUND(VLOOKUP("1.1.4",A4:Z106,13,FALSE),4),0) - IF(ISNA(VLOOKUP("11.1.1",A4:Z106,13,FALSE)),0,ROUND(VLOOKUP("11.1.1",A4:Z106,13,FALSE),4)))</f>
        <v>0.1197091104481392</v>
      </c>
      <c r="N64" s="17">
        <f>((IF(ISNUMBER(VLOOKUP("1.1",A4:Z106,14,FALSE)),ROUND(VLOOKUP("1.1",A4:Z106,14,FALSE),4),0) - IF(ISNUMBER(VLOOKUP("9.1.1",A4:Z106,14,FALSE)),ROUND(VLOOKUP("9.1.1",A4:Z106,14,FALSE),4),0) - IF(ISNA(VLOOKUP("11.1.1",A4:Z106,14,FALSE)),0,ROUND(VLOOKUP("11.1.1",A4:Z106,14,FALSE),4))) - (IF(ISNUMBER(VLOOKUP("2.1",A4:Z106,14,FALSE)),ROUND(VLOOKUP("2.1",A4:Z106,14,FALSE),4),0) - IF(ISNUMBER(VLOOKUP("9.3.1",A4:Z106,14,FALSE)),ROUND(VLOOKUP("9.3.1",A4:Z106,14,FALSE),4),0) - IF(ISNUMBER(VLOOKUP("10.7.2.1.1",A4:Z106,14,FALSE)),ROUND(VLOOKUP("10.7.2.1.1",A4:Z106,14,FALSE),4),0) - IF(ISNUMBER(VLOOKUP("2.1.3",A4:Z106,14,FALSE)),ROUND(VLOOKUP("2.1.3",A4:Z106,14,FALSE),4),0) - IF(ISNA(VLOOKUP("10.11",A4:Z106,14,FALSE)),0,ROUND(VLOOKUP("10.11",A4:Z106,14,FALSE),4)))) / (IF(ISNUMBER(VLOOKUP("1.1",A4:Z106,14,FALSE)),ROUND(VLOOKUP("1.1",A4:Z106,14,FALSE),4),0) - IF(ISNUMBER(VLOOKUP("1.1.4",A4:Z106,14,FALSE)),ROUND(VLOOKUP("1.1.4",A4:Z106,14,FALSE),4),0) - IF(ISNA(VLOOKUP("11.1.1",A4:Z106,14,FALSE)),0,ROUND(VLOOKUP("11.1.1",A4:Z106,14,FALSE),4)))</f>
        <v>0.11363503146153654</v>
      </c>
      <c r="O64" s="17">
        <f>((IF(ISNUMBER(VLOOKUP("1.1",A4:Z106,15,FALSE)),ROUND(VLOOKUP("1.1",A4:Z106,15,FALSE),4),0) - IF(ISNUMBER(VLOOKUP("9.1.1",A4:Z106,15,FALSE)),ROUND(VLOOKUP("9.1.1",A4:Z106,15,FALSE),4),0) - IF(ISNA(VLOOKUP("11.1.1",A4:Z106,15,FALSE)),0,ROUND(VLOOKUP("11.1.1",A4:Z106,15,FALSE),4))) - (IF(ISNUMBER(VLOOKUP("2.1",A4:Z106,15,FALSE)),ROUND(VLOOKUP("2.1",A4:Z106,15,FALSE),4),0) - IF(ISNUMBER(VLOOKUP("9.3.1",A4:Z106,15,FALSE)),ROUND(VLOOKUP("9.3.1",A4:Z106,15,FALSE),4),0) - IF(ISNUMBER(VLOOKUP("10.7.2.1.1",A4:Z106,15,FALSE)),ROUND(VLOOKUP("10.7.2.1.1",A4:Z106,15,FALSE),4),0) - IF(ISNUMBER(VLOOKUP("2.1.3",A4:Z106,15,FALSE)),ROUND(VLOOKUP("2.1.3",A4:Z106,15,FALSE),4),0) - IF(ISNA(VLOOKUP("10.11",A4:Z106,15,FALSE)),0,ROUND(VLOOKUP("10.11",A4:Z106,15,FALSE),4)))) / (IF(ISNUMBER(VLOOKUP("1.1",A4:Z106,15,FALSE)),ROUND(VLOOKUP("1.1",A4:Z106,15,FALSE),4),0) - IF(ISNUMBER(VLOOKUP("1.1.4",A4:Z106,15,FALSE)),ROUND(VLOOKUP("1.1.4",A4:Z106,15,FALSE),4),0) - IF(ISNA(VLOOKUP("11.1.1",A4:Z106,15,FALSE)),0,ROUND(VLOOKUP("11.1.1",A4:Z106,15,FALSE),4)))</f>
        <v>0.13017615774850211</v>
      </c>
      <c r="P64" s="17">
        <f>((IF(ISNUMBER(VLOOKUP("1.1",A4:Z106,16,FALSE)),ROUND(VLOOKUP("1.1",A4:Z106,16,FALSE),4),0) - IF(ISNUMBER(VLOOKUP("9.1.1",A4:Z106,16,FALSE)),ROUND(VLOOKUP("9.1.1",A4:Z106,16,FALSE),4),0) - IF(ISNA(VLOOKUP("11.1.1",A4:Z106,16,FALSE)),0,ROUND(VLOOKUP("11.1.1",A4:Z106,16,FALSE),4))) - (IF(ISNUMBER(VLOOKUP("2.1",A4:Z106,16,FALSE)),ROUND(VLOOKUP("2.1",A4:Z106,16,FALSE),4),0) - IF(ISNUMBER(VLOOKUP("9.3.1",A4:Z106,16,FALSE)),ROUND(VLOOKUP("9.3.1",A4:Z106,16,FALSE),4),0) - IF(ISNUMBER(VLOOKUP("10.7.2.1.1",A4:Z106,16,FALSE)),ROUND(VLOOKUP("10.7.2.1.1",A4:Z106,16,FALSE),4),0) - IF(ISNUMBER(VLOOKUP("2.1.3",A4:Z106,16,FALSE)),ROUND(VLOOKUP("2.1.3",A4:Z106,16,FALSE),4),0) - IF(ISNA(VLOOKUP("10.11",A4:Z106,16,FALSE)),0,ROUND(VLOOKUP("10.11",A4:Z106,16,FALSE),4)))) / (IF(ISNUMBER(VLOOKUP("1.1",A4:Z106,16,FALSE)),ROUND(VLOOKUP("1.1",A4:Z106,16,FALSE),4),0) - IF(ISNUMBER(VLOOKUP("1.1.4",A4:Z106,16,FALSE)),ROUND(VLOOKUP("1.1.4",A4:Z106,16,FALSE),4),0) - IF(ISNA(VLOOKUP("11.1.1",A4:Z106,16,FALSE)),0,ROUND(VLOOKUP("11.1.1",A4:Z106,16,FALSE),4)))</f>
        <v>0.12859004212950353</v>
      </c>
      <c r="Q64" s="17">
        <f>((IF(ISNUMBER(VLOOKUP("1.1",A4:Z106,17,FALSE)),ROUND(VLOOKUP("1.1",A4:Z106,17,FALSE),4),0) - IF(ISNUMBER(VLOOKUP("9.1.1",A4:Z106,17,FALSE)),ROUND(VLOOKUP("9.1.1",A4:Z106,17,FALSE),4),0) - IF(ISNA(VLOOKUP("11.1.1",A4:Z106,17,FALSE)),0,ROUND(VLOOKUP("11.1.1",A4:Z106,17,FALSE),4))) - (IF(ISNUMBER(VLOOKUP("2.1",A4:Z106,17,FALSE)),ROUND(VLOOKUP("2.1",A4:Z106,17,FALSE),4),0) - IF(ISNUMBER(VLOOKUP("9.3.1",A4:Z106,17,FALSE)),ROUND(VLOOKUP("9.3.1",A4:Z106,17,FALSE),4),0) - IF(ISNUMBER(VLOOKUP("10.7.2.1.1",A4:Z106,17,FALSE)),ROUND(VLOOKUP("10.7.2.1.1",A4:Z106,17,FALSE),4),0) - IF(ISNUMBER(VLOOKUP("2.1.3",A4:Z106,17,FALSE)),ROUND(VLOOKUP("2.1.3",A4:Z106,17,FALSE),4),0) - IF(ISNA(VLOOKUP("10.11",A4:Z106,17,FALSE)),0,ROUND(VLOOKUP("10.11",A4:Z106,17,FALSE),4)))) / (IF(ISNUMBER(VLOOKUP("1.1",A4:Z106,17,FALSE)),ROUND(VLOOKUP("1.1",A4:Z106,17,FALSE),4),0) - IF(ISNUMBER(VLOOKUP("1.1.4",A4:Z106,17,FALSE)),ROUND(VLOOKUP("1.1.4",A4:Z106,17,FALSE),4),0) - IF(ISNA(VLOOKUP("11.1.1",A4:Z106,17,FALSE)),0,ROUND(VLOOKUP("11.1.1",A4:Z106,17,FALSE),4)))</f>
        <v>0.11327812997666044</v>
      </c>
      <c r="R64" s="17">
        <f>((IF(ISNUMBER(VLOOKUP("1.1",A4:Z106,18,FALSE)),ROUND(VLOOKUP("1.1",A4:Z106,18,FALSE),4),0) - IF(ISNUMBER(VLOOKUP("9.1.1",A4:Z106,18,FALSE)),ROUND(VLOOKUP("9.1.1",A4:Z106,18,FALSE),4),0) - IF(ISNA(VLOOKUP("11.1.1",A4:Z106,18,FALSE)),0,ROUND(VLOOKUP("11.1.1",A4:Z106,18,FALSE),4))) - (IF(ISNUMBER(VLOOKUP("2.1",A4:Z106,18,FALSE)),ROUND(VLOOKUP("2.1",A4:Z106,18,FALSE),4),0) - IF(ISNUMBER(VLOOKUP("9.3.1",A4:Z106,18,FALSE)),ROUND(VLOOKUP("9.3.1",A4:Z106,18,FALSE),4),0) - IF(ISNUMBER(VLOOKUP("10.7.2.1.1",A4:Z106,18,FALSE)),ROUND(VLOOKUP("10.7.2.1.1",A4:Z106,18,FALSE),4),0) - IF(ISNUMBER(VLOOKUP("2.1.3",A4:Z106,18,FALSE)),ROUND(VLOOKUP("2.1.3",A4:Z106,18,FALSE),4),0) - IF(ISNA(VLOOKUP("10.11",A4:Z106,18,FALSE)),0,ROUND(VLOOKUP("10.11",A4:Z106,18,FALSE),4)))) / (IF(ISNUMBER(VLOOKUP("1.1",A4:Z106,18,FALSE)),ROUND(VLOOKUP("1.1",A4:Z106,18,FALSE),4),0) - IF(ISNUMBER(VLOOKUP("1.1.4",A4:Z106,18,FALSE)),ROUND(VLOOKUP("1.1.4",A4:Z106,18,FALSE),4),0) - IF(ISNA(VLOOKUP("11.1.1",A4:Z106,18,FALSE)),0,ROUND(VLOOKUP("11.1.1",A4:Z106,18,FALSE),4)))</f>
        <v>0.11374884164419313</v>
      </c>
      <c r="S64" s="17">
        <f>((IF(ISNUMBER(VLOOKUP("1.1",A4:Z106,19,FALSE)),ROUND(VLOOKUP("1.1",A4:Z106,19,FALSE),4),0) - IF(ISNUMBER(VLOOKUP("9.1.1",A4:Z106,19,FALSE)),ROUND(VLOOKUP("9.1.1",A4:Z106,19,FALSE),4),0) - IF(ISNA(VLOOKUP("11.1.1",A4:Z106,19,FALSE)),0,ROUND(VLOOKUP("11.1.1",A4:Z106,19,FALSE),4))) - (IF(ISNUMBER(VLOOKUP("2.1",A4:Z106,19,FALSE)),ROUND(VLOOKUP("2.1",A4:Z106,19,FALSE),4),0) - IF(ISNUMBER(VLOOKUP("9.3.1",A4:Z106,19,FALSE)),ROUND(VLOOKUP("9.3.1",A4:Z106,19,FALSE),4),0) - IF(ISNUMBER(VLOOKUP("10.7.2.1.1",A4:Z106,19,FALSE)),ROUND(VLOOKUP("10.7.2.1.1",A4:Z106,19,FALSE),4),0) - IF(ISNUMBER(VLOOKUP("2.1.3",A4:Z106,19,FALSE)),ROUND(VLOOKUP("2.1.3",A4:Z106,19,FALSE),4),0) - IF(ISNA(VLOOKUP("10.11",A4:Z106,19,FALSE)),0,ROUND(VLOOKUP("10.11",A4:Z106,19,FALSE),4)))) / (IF(ISNUMBER(VLOOKUP("1.1",A4:Z106,19,FALSE)),ROUND(VLOOKUP("1.1",A4:Z106,19,FALSE),4),0) - IF(ISNUMBER(VLOOKUP("1.1.4",A4:Z106,19,FALSE)),ROUND(VLOOKUP("1.1.4",A4:Z106,19,FALSE),4),0) - IF(ISNA(VLOOKUP("11.1.1",A4:Z106,19,FALSE)),0,ROUND(VLOOKUP("11.1.1",A4:Z106,19,FALSE),4)))</f>
        <v>0.11434148084383157</v>
      </c>
      <c r="T64" s="17">
        <f>((IF(ISNUMBER(VLOOKUP("1.1",A4:Z106,20,FALSE)),ROUND(VLOOKUP("1.1",A4:Z106,20,FALSE),4),0) - IF(ISNUMBER(VLOOKUP("9.1.1",A4:Z106,20,FALSE)),ROUND(VLOOKUP("9.1.1",A4:Z106,20,FALSE),4),0) - IF(ISNA(VLOOKUP("11.1.1",A4:Z106,20,FALSE)),0,ROUND(VLOOKUP("11.1.1",A4:Z106,20,FALSE),4))) - (IF(ISNUMBER(VLOOKUP("2.1",A4:Z106,20,FALSE)),ROUND(VLOOKUP("2.1",A4:Z106,20,FALSE),4),0) - IF(ISNUMBER(VLOOKUP("9.3.1",A4:Z106,20,FALSE)),ROUND(VLOOKUP("9.3.1",A4:Z106,20,FALSE),4),0) - IF(ISNUMBER(VLOOKUP("10.7.2.1.1",A4:Z106,20,FALSE)),ROUND(VLOOKUP("10.7.2.1.1",A4:Z106,20,FALSE),4),0) - IF(ISNUMBER(VLOOKUP("2.1.3",A4:Z106,20,FALSE)),ROUND(VLOOKUP("2.1.3",A4:Z106,20,FALSE),4),0) - IF(ISNA(VLOOKUP("10.11",A4:Z106,20,FALSE)),0,ROUND(VLOOKUP("10.11",A4:Z106,20,FALSE),4)))) / (IF(ISNUMBER(VLOOKUP("1.1",A4:Z106,20,FALSE)),ROUND(VLOOKUP("1.1",A4:Z106,20,FALSE),4),0) - IF(ISNUMBER(VLOOKUP("1.1.4",A4:Z106,20,FALSE)),ROUND(VLOOKUP("1.1.4",A4:Z106,20,FALSE),4),0) - IF(ISNA(VLOOKUP("11.1.1",A4:Z106,20,FALSE)),0,ROUND(VLOOKUP("11.1.1",A4:Z106,20,FALSE),4)))</f>
        <v>0.11517745278268914</v>
      </c>
      <c r="U64" s="17">
        <f>((IF(ISNUMBER(VLOOKUP("1.1",A4:Z106,21,FALSE)),ROUND(VLOOKUP("1.1",A4:Z106,21,FALSE),4),0) - IF(ISNUMBER(VLOOKUP("9.1.1",A4:Z106,21,FALSE)),ROUND(VLOOKUP("9.1.1",A4:Z106,21,FALSE),4),0) - IF(ISNA(VLOOKUP("11.1.1",A4:Z106,21,FALSE)),0,ROUND(VLOOKUP("11.1.1",A4:Z106,21,FALSE),4))) - (IF(ISNUMBER(VLOOKUP("2.1",A4:Z106,21,FALSE)),ROUND(VLOOKUP("2.1",A4:Z106,21,FALSE),4),0) - IF(ISNUMBER(VLOOKUP("9.3.1",A4:Z106,21,FALSE)),ROUND(VLOOKUP("9.3.1",A4:Z106,21,FALSE),4),0) - IF(ISNUMBER(VLOOKUP("10.7.2.1.1",A4:Z106,21,FALSE)),ROUND(VLOOKUP("10.7.2.1.1",A4:Z106,21,FALSE),4),0) - IF(ISNUMBER(VLOOKUP("2.1.3",A4:Z106,21,FALSE)),ROUND(VLOOKUP("2.1.3",A4:Z106,21,FALSE),4),0) - IF(ISNA(VLOOKUP("10.11",A4:Z106,21,FALSE)),0,ROUND(VLOOKUP("10.11",A4:Z106,21,FALSE),4)))) / (IF(ISNUMBER(VLOOKUP("1.1",A4:Z106,21,FALSE)),ROUND(VLOOKUP("1.1",A4:Z106,21,FALSE),4),0) - IF(ISNUMBER(VLOOKUP("1.1.4",A4:Z106,21,FALSE)),ROUND(VLOOKUP("1.1.4",A4:Z106,21,FALSE),4),0) - IF(ISNA(VLOOKUP("11.1.1",A4:Z106,21,FALSE)),0,ROUND(VLOOKUP("11.1.1",A4:Z106,21,FALSE),4)))</f>
        <v>0.1161339975216039</v>
      </c>
      <c r="V64" s="17">
        <f>((IF(ISNUMBER(VLOOKUP("1.1",A4:Z106,22,FALSE)),ROUND(VLOOKUP("1.1",A4:Z106,22,FALSE),4),0) - IF(ISNUMBER(VLOOKUP("9.1.1",A4:Z106,22,FALSE)),ROUND(VLOOKUP("9.1.1",A4:Z106,22,FALSE),4),0) - IF(ISNA(VLOOKUP("11.1.1",A4:Z106,22,FALSE)),0,ROUND(VLOOKUP("11.1.1",A4:Z106,22,FALSE),4))) - (IF(ISNUMBER(VLOOKUP("2.1",A4:Z106,22,FALSE)),ROUND(VLOOKUP("2.1",A4:Z106,22,FALSE),4),0) - IF(ISNUMBER(VLOOKUP("9.3.1",A4:Z106,22,FALSE)),ROUND(VLOOKUP("9.3.1",A4:Z106,22,FALSE),4),0) - IF(ISNUMBER(VLOOKUP("10.7.2.1.1",A4:Z106,22,FALSE)),ROUND(VLOOKUP("10.7.2.1.1",A4:Z106,22,FALSE),4),0) - IF(ISNUMBER(VLOOKUP("2.1.3",A4:Z106,22,FALSE)),ROUND(VLOOKUP("2.1.3",A4:Z106,22,FALSE),4),0) - IF(ISNA(VLOOKUP("10.11",A4:Z106,22,FALSE)),0,ROUND(VLOOKUP("10.11",A4:Z106,22,FALSE),4)))) / (IF(ISNUMBER(VLOOKUP("1.1",A4:Z106,22,FALSE)),ROUND(VLOOKUP("1.1",A4:Z106,22,FALSE),4),0) - IF(ISNUMBER(VLOOKUP("1.1.4",A4:Z106,22,FALSE)),ROUND(VLOOKUP("1.1.4",A4:Z106,22,FALSE),4),0) - IF(ISNA(VLOOKUP("11.1.1",A4:Z106,22,FALSE)),0,ROUND(VLOOKUP("11.1.1",A4:Z106,22,FALSE),4)))</f>
        <v>0.11745319539149342</v>
      </c>
      <c r="W64" s="17">
        <f>((IF(ISNUMBER(VLOOKUP("1.1",A4:Z106,23,FALSE)),ROUND(VLOOKUP("1.1",A4:Z106,23,FALSE),4),0) - IF(ISNUMBER(VLOOKUP("9.1.1",A4:Z106,23,FALSE)),ROUND(VLOOKUP("9.1.1",A4:Z106,23,FALSE),4),0) - IF(ISNA(VLOOKUP("11.1.1",A4:Z106,23,FALSE)),0,ROUND(VLOOKUP("11.1.1",A4:Z106,23,FALSE),4))) - (IF(ISNUMBER(VLOOKUP("2.1",A4:Z106,23,FALSE)),ROUND(VLOOKUP("2.1",A4:Z106,23,FALSE),4),0) - IF(ISNUMBER(VLOOKUP("9.3.1",A4:Z106,23,FALSE)),ROUND(VLOOKUP("9.3.1",A4:Z106,23,FALSE),4),0) - IF(ISNUMBER(VLOOKUP("10.7.2.1.1",A4:Z106,23,FALSE)),ROUND(VLOOKUP("10.7.2.1.1",A4:Z106,23,FALSE),4),0) - IF(ISNUMBER(VLOOKUP("2.1.3",A4:Z106,23,FALSE)),ROUND(VLOOKUP("2.1.3",A4:Z106,23,FALSE),4),0) - IF(ISNA(VLOOKUP("10.11",A4:Z106,23,FALSE)),0,ROUND(VLOOKUP("10.11",A4:Z106,23,FALSE),4)))) / (IF(ISNUMBER(VLOOKUP("1.1",A4:Z106,23,FALSE)),ROUND(VLOOKUP("1.1",A4:Z106,23,FALSE),4),0) - IF(ISNUMBER(VLOOKUP("1.1.4",A4:Z106,23,FALSE)),ROUND(VLOOKUP("1.1.4",A4:Z106,23,FALSE),4),0) - IF(ISNA(VLOOKUP("11.1.1",A4:Z106,23,FALSE)),0,ROUND(VLOOKUP("11.1.1",A4:Z106,23,FALSE),4)))</f>
        <v>0.11889025657253645</v>
      </c>
      <c r="X64" s="17">
        <f>((IF(ISNUMBER(VLOOKUP("1.1",A4:Z106,24,FALSE)),ROUND(VLOOKUP("1.1",A4:Z106,24,FALSE),4),0) - IF(ISNUMBER(VLOOKUP("9.1.1",A4:Z106,24,FALSE)),ROUND(VLOOKUP("9.1.1",A4:Z106,24,FALSE),4),0) - IF(ISNA(VLOOKUP("11.1.1",A4:Z106,24,FALSE)),0,ROUND(VLOOKUP("11.1.1",A4:Z106,24,FALSE),4))) - (IF(ISNUMBER(VLOOKUP("2.1",A4:Z106,24,FALSE)),ROUND(VLOOKUP("2.1",A4:Z106,24,FALSE),4),0) - IF(ISNUMBER(VLOOKUP("9.3.1",A4:Z106,24,FALSE)),ROUND(VLOOKUP("9.3.1",A4:Z106,24,FALSE),4),0) - IF(ISNUMBER(VLOOKUP("10.7.2.1.1",A4:Z106,24,FALSE)),ROUND(VLOOKUP("10.7.2.1.1",A4:Z106,24,FALSE),4),0) - IF(ISNUMBER(VLOOKUP("2.1.3",A4:Z106,24,FALSE)),ROUND(VLOOKUP("2.1.3",A4:Z106,24,FALSE),4),0) - IF(ISNA(VLOOKUP("10.11",A4:Z106,24,FALSE)),0,ROUND(VLOOKUP("10.11",A4:Z106,24,FALSE),4)))) / (IF(ISNUMBER(VLOOKUP("1.1",A4:Z106,24,FALSE)),ROUND(VLOOKUP("1.1",A4:Z106,24,FALSE),4),0) - IF(ISNUMBER(VLOOKUP("1.1.4",A4:Z106,24,FALSE)),ROUND(VLOOKUP("1.1.4",A4:Z106,24,FALSE),4),0) - IF(ISNA(VLOOKUP("11.1.1",A4:Z106,24,FALSE)),0,ROUND(VLOOKUP("11.1.1",A4:Z106,24,FALSE),4)))</f>
        <v>0.12080626020176806</v>
      </c>
      <c r="Y64" s="17">
        <f>((IF(ISNUMBER(VLOOKUP("1.1",A4:Z106,25,FALSE)),ROUND(VLOOKUP("1.1",A4:Z106,25,FALSE),4),0) - IF(ISNUMBER(VLOOKUP("9.1.1",A4:Z106,25,FALSE)),ROUND(VLOOKUP("9.1.1",A4:Z106,25,FALSE),4),0) - IF(ISNA(VLOOKUP("11.1.1",A4:Z106,25,FALSE)),0,ROUND(VLOOKUP("11.1.1",A4:Z106,25,FALSE),4))) - (IF(ISNUMBER(VLOOKUP("2.1",A4:Z106,25,FALSE)),ROUND(VLOOKUP("2.1",A4:Z106,25,FALSE),4),0) - IF(ISNUMBER(VLOOKUP("9.3.1",A4:Z106,25,FALSE)),ROUND(VLOOKUP("9.3.1",A4:Z106,25,FALSE),4),0) - IF(ISNUMBER(VLOOKUP("10.7.2.1.1",A4:Z106,25,FALSE)),ROUND(VLOOKUP("10.7.2.1.1",A4:Z106,25,FALSE),4),0) - IF(ISNUMBER(VLOOKUP("2.1.3",A4:Z106,25,FALSE)),ROUND(VLOOKUP("2.1.3",A4:Z106,25,FALSE),4),0) - IF(ISNA(VLOOKUP("10.11",A4:Z106,25,FALSE)),0,ROUND(VLOOKUP("10.11",A4:Z106,25,FALSE),4)))) / (IF(ISNUMBER(VLOOKUP("1.1",A4:Z106,25,FALSE)),ROUND(VLOOKUP("1.1",A4:Z106,25,FALSE),4),0) - IF(ISNUMBER(VLOOKUP("1.1.4",A4:Z106,25,FALSE)),ROUND(VLOOKUP("1.1.4",A4:Z106,25,FALSE),4),0) - IF(ISNA(VLOOKUP("11.1.1",A4:Z106,25,FALSE)),0,ROUND(VLOOKUP("11.1.1",A4:Z106,25,FALSE),4)))</f>
        <v>0.12307580149982657</v>
      </c>
      <c r="Z64" s="17">
        <f>((IF(ISNUMBER(VLOOKUP("1.1",A4:Z106,26,FALSE)),ROUND(VLOOKUP("1.1",A4:Z106,26,FALSE),4),0) - IF(ISNUMBER(VLOOKUP("9.1.1",A4:Z106,26,FALSE)),ROUND(VLOOKUP("9.1.1",A4:Z106,26,FALSE),4),0) - IF(ISNA(VLOOKUP("11.1.1",A4:Z106,26,FALSE)),0,ROUND(VLOOKUP("11.1.1",A4:Z106,26,FALSE),4))) - (IF(ISNUMBER(VLOOKUP("2.1",A4:Z106,26,FALSE)),ROUND(VLOOKUP("2.1",A4:Z106,26,FALSE),4),0) - IF(ISNUMBER(VLOOKUP("9.3.1",A4:Z106,26,FALSE)),ROUND(VLOOKUP("9.3.1",A4:Z106,26,FALSE),4),0) - IF(ISNUMBER(VLOOKUP("10.7.2.1.1",A4:Z106,26,FALSE)),ROUND(VLOOKUP("10.7.2.1.1",A4:Z106,26,FALSE),4),0) - IF(ISNUMBER(VLOOKUP("2.1.3",A4:Z106,26,FALSE)),ROUND(VLOOKUP("2.1.3",A4:Z106,26,FALSE),4),0) - IF(ISNA(VLOOKUP("10.11",A4:Z106,26,FALSE)),0,ROUND(VLOOKUP("10.11",A4:Z106,26,FALSE),4)))) / (IF(ISNUMBER(VLOOKUP("1.1",A4:Z106,26,FALSE)),ROUND(VLOOKUP("1.1",A4:Z106,26,FALSE),4),0) - IF(ISNUMBER(VLOOKUP("1.1.4",A4:Z106,26,FALSE)),ROUND(VLOOKUP("1.1.4",A4:Z106,26,FALSE),4),0) - IF(ISNA(VLOOKUP("11.1.1",A4:Z106,26,FALSE)),0,ROUND(VLOOKUP("11.1.1",A4:Z106,26,FALSE),4)))</f>
        <v>0.14240759792784896</v>
      </c>
    </row>
    <row r="65" spans="1:26" ht="30.6" hidden="1" x14ac:dyDescent="0.3">
      <c r="A65" s="14" t="s">
        <v>142</v>
      </c>
      <c r="B65" s="15" t="s">
        <v>143</v>
      </c>
      <c r="C65" s="16">
        <f>((IF(ISNUMBER(VLOOKUP("1.1",A4:Z106,3,FALSE)),ROUND(VLOOKUP("1.1",A4:Z106,3,FALSE),4),0) - IF(ISNUMBER(VLOOKUP("9.1.1",A4:Z106,3,FALSE)),ROUND(VLOOKUP("9.1.1",A4:Z106,3,FALSE),4),0) - IF(ISNA(VLOOKUP("11.1.1",A4:Z106,3,FALSE)),0,ROUND(VLOOKUP("11.1.1",A4:Z106,3,FALSE),4))) + IF(ISNUMBER(VLOOKUP("1.2.1",A4:Z106,3,FALSE)),ROUND(VLOOKUP("1.2.1",A4:Z106,3,FALSE),4),0) - (IF(ISNUMBER(VLOOKUP("2.1",A4:Z106,3,FALSE)),ROUND(VLOOKUP("2.1",A4:Z106,3,FALSE),4),0) - IF(ISNUMBER(VLOOKUP("9.3.1",A4:Z106,3,FALSE)),ROUND(VLOOKUP("9.3.1",A4:Z106,3,FALSE),4),0) - IF(ISNUMBER(VLOOKUP("10.7.2.1.1",A4:Z106,3,FALSE)),ROUND(VLOOKUP("10.7.2.1.1",A4:Z106,3,FALSE),4),0) - IF(ISNUMBER(VLOOKUP("2.1.3",A4:Z106,3,FALSE)),ROUND(VLOOKUP("2.1.3",A4:Z106,3,FALSE),4),0) - IF(ISNA(VLOOKUP("10.11",A4:Z106,3,FALSE)),0,ROUND(VLOOKUP("10.11",A4:Z106,3,FALSE),4)))) / (IF(ISNUMBER(VLOOKUP("1.1",A4:Z106,3,FALSE)),ROUND(VLOOKUP("1.1",A4:Z106,3,FALSE),4),0) - IF(ISNUMBER(VLOOKUP("1.1.4",A4:Z106,3,FALSE)),ROUND(VLOOKUP("1.1.4",A4:Z106,3,FALSE),4),0) - IF(ISNA(VLOOKUP("11.1.1",A4:Z106,3,FALSE)),0,ROUND(VLOOKUP("11.1.1",A4:Z106,3,FALSE),4)))</f>
        <v>0.17825001793400178</v>
      </c>
      <c r="D65" s="16">
        <f>((IF(ISNUMBER(VLOOKUP("1.1",A4:Z106,4,FALSE)),ROUND(VLOOKUP("1.1",A4:Z106,4,FALSE),4),0) - IF(ISNUMBER(VLOOKUP("9.1.1",A4:Z106,4,FALSE)),ROUND(VLOOKUP("9.1.1",A4:Z106,4,FALSE),4),0) - IF(ISNA(VLOOKUP("11.1.1",A4:Z106,4,FALSE)),0,ROUND(VLOOKUP("11.1.1",A4:Z106,4,FALSE),4))) + IF(ISNUMBER(VLOOKUP("1.2.1",A4:Z106,4,FALSE)),ROUND(VLOOKUP("1.2.1",A4:Z106,4,FALSE),4),0) - (IF(ISNUMBER(VLOOKUP("2.1",A4:Z106,4,FALSE)),ROUND(VLOOKUP("2.1",A4:Z106,4,FALSE),4),0) - IF(ISNUMBER(VLOOKUP("9.3.1",A4:Z106,4,FALSE)),ROUND(VLOOKUP("9.3.1",A4:Z106,4,FALSE),4),0) - IF(ISNUMBER(VLOOKUP("10.7.2.1.1",A4:Z106,4,FALSE)),ROUND(VLOOKUP("10.7.2.1.1",A4:Z106,4,FALSE),4),0) - IF(ISNUMBER(VLOOKUP("2.1.3",A4:Z106,4,FALSE)),ROUND(VLOOKUP("2.1.3",A4:Z106,4,FALSE),4),0) - IF(ISNA(VLOOKUP("10.11",A4:Z106,4,FALSE)),0,ROUND(VLOOKUP("10.11",A4:Z106,4,FALSE),4)))) / (IF(ISNUMBER(VLOOKUP("1.1",A4:Z106,4,FALSE)),ROUND(VLOOKUP("1.1",A4:Z106,4,FALSE),4),0) - IF(ISNUMBER(VLOOKUP("1.1.4",A4:Z106,4,FALSE)),ROUND(VLOOKUP("1.1.4",A4:Z106,4,FALSE),4),0) - IF(ISNA(VLOOKUP("11.1.1",A4:Z106,4,FALSE)),0,ROUND(VLOOKUP("11.1.1",A4:Z106,4,FALSE),4)))</f>
        <v>0.15268549259522565</v>
      </c>
      <c r="E65" s="16">
        <f>((IF(ISNUMBER(VLOOKUP("1.1",A4:Z106,5,FALSE)),ROUND(VLOOKUP("1.1",A4:Z106,5,FALSE),4),0) - IF(ISNUMBER(VLOOKUP("9.1.1",A4:Z106,5,FALSE)),ROUND(VLOOKUP("9.1.1",A4:Z106,5,FALSE),4),0) - IF(ISNA(VLOOKUP("11.1.1",A4:Z106,5,FALSE)),0,ROUND(VLOOKUP("11.1.1",A4:Z106,5,FALSE),4))) + IF(ISNUMBER(VLOOKUP("1.2.1",A4:Z106,5,FALSE)),ROUND(VLOOKUP("1.2.1",A4:Z106,5,FALSE),4),0) - (IF(ISNUMBER(VLOOKUP("2.1",A4:Z106,5,FALSE)),ROUND(VLOOKUP("2.1",A4:Z106,5,FALSE),4),0) - IF(ISNUMBER(VLOOKUP("9.3.1",A4:Z106,5,FALSE)),ROUND(VLOOKUP("9.3.1",A4:Z106,5,FALSE),4),0) - IF(ISNUMBER(VLOOKUP("10.7.2.1.1",A4:Z106,5,FALSE)),ROUND(VLOOKUP("10.7.2.1.1",A4:Z106,5,FALSE),4),0) - IF(ISNUMBER(VLOOKUP("2.1.3",A4:Z106,5,FALSE)),ROUND(VLOOKUP("2.1.3",A4:Z106,5,FALSE),4),0) - IF(ISNA(VLOOKUP("10.11",A4:Z106,5,FALSE)),0,ROUND(VLOOKUP("10.11",A4:Z106,5,FALSE),4)))) / (IF(ISNUMBER(VLOOKUP("1.1",A4:Z106,5,FALSE)),ROUND(VLOOKUP("1.1",A4:Z106,5,FALSE),4),0) - IF(ISNUMBER(VLOOKUP("1.1.4",A4:Z106,5,FALSE)),ROUND(VLOOKUP("1.1.4",A4:Z106,5,FALSE),4),0) - IF(ISNA(VLOOKUP("11.1.1",A4:Z106,5,FALSE)),0,ROUND(VLOOKUP("11.1.1",A4:Z106,5,FALSE),4)))</f>
        <v>0.23820266792986367</v>
      </c>
      <c r="F65" s="16">
        <f>((IF(ISNUMBER(VLOOKUP("1.1",A4:Z106,6,FALSE)),ROUND(VLOOKUP("1.1",A4:Z106,6,FALSE),4),0) - IF(ISNUMBER(VLOOKUP("9.1.1",A4:Z106,6,FALSE)),ROUND(VLOOKUP("9.1.1",A4:Z106,6,FALSE),4),0) - IF(ISNA(VLOOKUP("11.1.1",A4:Z106,6,FALSE)),0,ROUND(VLOOKUP("11.1.1",A4:Z106,6,FALSE),4))) + IF(ISNUMBER(VLOOKUP("1.2.1",A4:Z106,6,FALSE)),ROUND(VLOOKUP("1.2.1",A4:Z106,6,FALSE),4),0) - (IF(ISNUMBER(VLOOKUP("2.1",A4:Z106,6,FALSE)),ROUND(VLOOKUP("2.1",A4:Z106,6,FALSE),4),0) - IF(ISNUMBER(VLOOKUP("9.3.1",A4:Z106,6,FALSE)),ROUND(VLOOKUP("9.3.1",A4:Z106,6,FALSE),4),0) - IF(ISNUMBER(VLOOKUP("10.7.2.1.1",A4:Z106,6,FALSE)),ROUND(VLOOKUP("10.7.2.1.1",A4:Z106,6,FALSE),4),0) - IF(ISNUMBER(VLOOKUP("2.1.3",A4:Z106,6,FALSE)),ROUND(VLOOKUP("2.1.3",A4:Z106,6,FALSE),4),0) - IF(ISNA(VLOOKUP("10.11",A4:Z106,6,FALSE)),0,ROUND(VLOOKUP("10.11",A4:Z106,6,FALSE),4)))) / (IF(ISNUMBER(VLOOKUP("1.1",A4:Z106,6,FALSE)),ROUND(VLOOKUP("1.1",A4:Z106,6,FALSE),4),0) - IF(ISNUMBER(VLOOKUP("1.1.4",A4:Z106,6,FALSE)),ROUND(VLOOKUP("1.1.4",A4:Z106,6,FALSE),4),0) - IF(ISNA(VLOOKUP("11.1.1",A4:Z106,6,FALSE)),0,ROUND(VLOOKUP("11.1.1",A4:Z106,6,FALSE),4)))</f>
        <v>0.20957848772416968</v>
      </c>
      <c r="G65" s="16">
        <f>((IF(ISNUMBER(VLOOKUP("1.1",A4:Z106,7,FALSE)),ROUND(VLOOKUP("1.1",A4:Z106,7,FALSE),4),0) - IF(ISNUMBER(VLOOKUP("9.1.1",A4:Z106,7,FALSE)),ROUND(VLOOKUP("9.1.1",A4:Z106,7,FALSE),4),0) - IF(ISNA(VLOOKUP("11.1.1",A4:Z106,7,FALSE)),0,ROUND(VLOOKUP("11.1.1",A4:Z106,7,FALSE),4))) + IF(ISNUMBER(VLOOKUP("1.2.1",A4:Z106,7,FALSE)),ROUND(VLOOKUP("1.2.1",A4:Z106,7,FALSE),4),0) - (IF(ISNUMBER(VLOOKUP("2.1",A4:Z106,7,FALSE)),ROUND(VLOOKUP("2.1",A4:Z106,7,FALSE),4),0) - IF(ISNUMBER(VLOOKUP("9.3.1",A4:Z106,7,FALSE)),ROUND(VLOOKUP("9.3.1",A4:Z106,7,FALSE),4),0) - IF(ISNUMBER(VLOOKUP("10.7.2.1.1",A4:Z106,7,FALSE)),ROUND(VLOOKUP("10.7.2.1.1",A4:Z106,7,FALSE),4),0) - IF(ISNUMBER(VLOOKUP("2.1.3",A4:Z106,7,FALSE)),ROUND(VLOOKUP("2.1.3",A4:Z106,7,FALSE),4),0) - IF(ISNA(VLOOKUP("10.11",A4:Z106,7,FALSE)),0,ROUND(VLOOKUP("10.11",A4:Z106,7,FALSE),4)))) / (IF(ISNUMBER(VLOOKUP("1.1",A4:Z106,7,FALSE)),ROUND(VLOOKUP("1.1",A4:Z106,7,FALSE),4),0) - IF(ISNUMBER(VLOOKUP("1.1.4",A4:Z106,7,FALSE)),ROUND(VLOOKUP("1.1.4",A4:Z106,7,FALSE),4),0) - IF(ISNA(VLOOKUP("11.1.1",A4:Z106,7,FALSE)),0,ROUND(VLOOKUP("11.1.1",A4:Z106,7,FALSE),4)))</f>
        <v>0.11477846974589989</v>
      </c>
      <c r="H65" s="16">
        <f>((IF(ISNUMBER(VLOOKUP("1.1",A4:Z106,8,FALSE)),ROUND(VLOOKUP("1.1",A4:Z106,8,FALSE),4),0) - IF(ISNUMBER(VLOOKUP("9.1.1",A4:Z106,8,FALSE)),ROUND(VLOOKUP("9.1.1",A4:Z106,8,FALSE),4),0) - IF(ISNA(VLOOKUP("11.1.1",A4:Z106,8,FALSE)),0,ROUND(VLOOKUP("11.1.1",A4:Z106,8,FALSE),4))) + IF(ISNUMBER(VLOOKUP("1.2.1",A4:Z106,8,FALSE)),ROUND(VLOOKUP("1.2.1",A4:Z106,8,FALSE),4),0) - (IF(ISNUMBER(VLOOKUP("2.1",A4:Z106,8,FALSE)),ROUND(VLOOKUP("2.1",A4:Z106,8,FALSE),4),0) - IF(ISNUMBER(VLOOKUP("9.3.1",A4:Z106,8,FALSE)),ROUND(VLOOKUP("9.3.1",A4:Z106,8,FALSE),4),0) - IF(ISNUMBER(VLOOKUP("10.7.2.1.1",A4:Z106,8,FALSE)),ROUND(VLOOKUP("10.7.2.1.1",A4:Z106,8,FALSE),4),0) - IF(ISNUMBER(VLOOKUP("2.1.3",A4:Z106,8,FALSE)),ROUND(VLOOKUP("2.1.3",A4:Z106,8,FALSE),4),0) - IF(ISNA(VLOOKUP("10.11",A4:Z106,8,FALSE)),0,ROUND(VLOOKUP("10.11",A4:Z106,8,FALSE),4)))) / (IF(ISNUMBER(VLOOKUP("1.1",A4:Z106,8,FALSE)),ROUND(VLOOKUP("1.1",A4:Z106,8,FALSE),4),0) - IF(ISNUMBER(VLOOKUP("1.1.4",A4:Z106,8,FALSE)),ROUND(VLOOKUP("1.1.4",A4:Z106,8,FALSE),4),0) - IF(ISNA(VLOOKUP("11.1.1",A4:Z106,8,FALSE)),0,ROUND(VLOOKUP("11.1.1",A4:Z106,8,FALSE),4)))</f>
        <v>5.6708994869761262E-2</v>
      </c>
      <c r="I65" s="16">
        <f>((IF(ISNUMBER(VLOOKUP("1.1",A4:Z106,9,FALSE)),ROUND(VLOOKUP("1.1",A4:Z106,9,FALSE),4),0) - IF(ISNUMBER(VLOOKUP("9.1.1",A4:Z106,9,FALSE)),ROUND(VLOOKUP("9.1.1",A4:Z106,9,FALSE),4),0) - IF(ISNA(VLOOKUP("11.1.1",A4:Z106,9,FALSE)),0,ROUND(VLOOKUP("11.1.1",A4:Z106,9,FALSE),4))) + IF(ISNUMBER(VLOOKUP("1.2.1",A4:Z106,9,FALSE)),ROUND(VLOOKUP("1.2.1",A4:Z106,9,FALSE),4),0) - (IF(ISNUMBER(VLOOKUP("2.1",A4:Z106,9,FALSE)),ROUND(VLOOKUP("2.1",A4:Z106,9,FALSE),4),0) - IF(ISNUMBER(VLOOKUP("9.3.1",A4:Z106,9,FALSE)),ROUND(VLOOKUP("9.3.1",A4:Z106,9,FALSE),4),0) - IF(ISNUMBER(VLOOKUP("10.7.2.1.1",A4:Z106,9,FALSE)),ROUND(VLOOKUP("10.7.2.1.1",A4:Z106,9,FALSE),4),0) - IF(ISNUMBER(VLOOKUP("2.1.3",A4:Z106,9,FALSE)),ROUND(VLOOKUP("2.1.3",A4:Z106,9,FALSE),4),0) - IF(ISNA(VLOOKUP("10.11",A4:Z106,9,FALSE)),0,ROUND(VLOOKUP("10.11",A4:Z106,9,FALSE),4)))) / (IF(ISNUMBER(VLOOKUP("1.1",A4:Z106,9,FALSE)),ROUND(VLOOKUP("1.1",A4:Z106,9,FALSE),4),0) - IF(ISNUMBER(VLOOKUP("1.1.4",A4:Z106,9,FALSE)),ROUND(VLOOKUP("1.1.4",A4:Z106,9,FALSE),4),0) - IF(ISNA(VLOOKUP("11.1.1",A4:Z106,9,FALSE)),0,ROUND(VLOOKUP("11.1.1",A4:Z106,9,FALSE),4)))</f>
        <v>0.11780730538776966</v>
      </c>
      <c r="J65" s="16">
        <f>((IF(ISNUMBER(VLOOKUP("1.1",A4:Z106,10,FALSE)),ROUND(VLOOKUP("1.1",A4:Z106,10,FALSE),4),0) - IF(ISNUMBER(VLOOKUP("9.1.1",A4:Z106,10,FALSE)),ROUND(VLOOKUP("9.1.1",A4:Z106,10,FALSE),4),0) - IF(ISNA(VLOOKUP("11.1.1",A4:Z106,10,FALSE)),0,ROUND(VLOOKUP("11.1.1",A4:Z106,10,FALSE),4))) + IF(ISNUMBER(VLOOKUP("1.2.1",A4:Z106,10,FALSE)),ROUND(VLOOKUP("1.2.1",A4:Z106,10,FALSE),4),0) - (IF(ISNUMBER(VLOOKUP("2.1",A4:Z106,10,FALSE)),ROUND(VLOOKUP("2.1",A4:Z106,10,FALSE),4),0) - IF(ISNUMBER(VLOOKUP("9.3.1",A4:Z106,10,FALSE)),ROUND(VLOOKUP("9.3.1",A4:Z106,10,FALSE),4),0) - IF(ISNUMBER(VLOOKUP("10.7.2.1.1",A4:Z106,10,FALSE)),ROUND(VLOOKUP("10.7.2.1.1",A4:Z106,10,FALSE),4),0) - IF(ISNUMBER(VLOOKUP("2.1.3",A4:Z106,10,FALSE)),ROUND(VLOOKUP("2.1.3",A4:Z106,10,FALSE),4),0) - IF(ISNA(VLOOKUP("10.11",A4:Z106,10,FALSE)),0,ROUND(VLOOKUP("10.11",A4:Z106,10,FALSE),4)))) / (IF(ISNUMBER(VLOOKUP("1.1",A4:Z106,10,FALSE)),ROUND(VLOOKUP("1.1",A4:Z106,10,FALSE),4),0) - IF(ISNUMBER(VLOOKUP("1.1.4",A4:Z106,10,FALSE)),ROUND(VLOOKUP("1.1.4",A4:Z106,10,FALSE),4),0) - IF(ISNA(VLOOKUP("11.1.1",A4:Z106,10,FALSE)),0,ROUND(VLOOKUP("11.1.1",A4:Z106,10,FALSE),4)))</f>
        <v>0.19256239588805871</v>
      </c>
      <c r="K65" s="17">
        <f>((IF(ISNUMBER(VLOOKUP("1.1",A4:Z106,11,FALSE)),ROUND(VLOOKUP("1.1",A4:Z106,11,FALSE),4),0) - IF(ISNUMBER(VLOOKUP("9.1.1",A4:Z106,11,FALSE)),ROUND(VLOOKUP("9.1.1",A4:Z106,11,FALSE),4),0) - IF(ISNA(VLOOKUP("11.1.1",A4:Z106,11,FALSE)),0,ROUND(VLOOKUP("11.1.1",A4:Z106,11,FALSE),4))) + IF(ISNUMBER(VLOOKUP("1.2.1",A4:Z106,11,FALSE)),ROUND(VLOOKUP("1.2.1",A4:Z106,11,FALSE),4),0) - (IF(ISNUMBER(VLOOKUP("2.1",A4:Z106,11,FALSE)),ROUND(VLOOKUP("2.1",A4:Z106,11,FALSE),4),0) - IF(ISNUMBER(VLOOKUP("9.3.1",A4:Z106,11,FALSE)),ROUND(VLOOKUP("9.3.1",A4:Z106,11,FALSE),4),0) - IF(ISNUMBER(VLOOKUP("10.7.2.1.1",A4:Z106,11,FALSE)),ROUND(VLOOKUP("10.7.2.1.1",A4:Z106,11,FALSE),4),0) - IF(ISNUMBER(VLOOKUP("2.1.3",A4:Z106,11,FALSE)),ROUND(VLOOKUP("2.1.3",A4:Z106,11,FALSE),4),0) - IF(ISNA(VLOOKUP("10.11",A4:Z106,11,FALSE)),0,ROUND(VLOOKUP("10.11",A4:Z106,11,FALSE),4)))) / (IF(ISNUMBER(VLOOKUP("1.1",A4:Z106,11,FALSE)),ROUND(VLOOKUP("1.1",A4:Z106,11,FALSE),4),0) - IF(ISNUMBER(VLOOKUP("1.1.4",A4:Z106,11,FALSE)),ROUND(VLOOKUP("1.1.4",A4:Z106,11,FALSE),4),0) - IF(ISNA(VLOOKUP("11.1.1",A4:Z106,11,FALSE)),0,ROUND(VLOOKUP("11.1.1",A4:Z106,11,FALSE),4)))</f>
        <v>0.13271829247751613</v>
      </c>
      <c r="L65" s="17">
        <f>((IF(ISNUMBER(VLOOKUP("1.1",A4:Z106,12,FALSE)),ROUND(VLOOKUP("1.1",A4:Z106,12,FALSE),4),0) - IF(ISNUMBER(VLOOKUP("9.1.1",A4:Z106,12,FALSE)),ROUND(VLOOKUP("9.1.1",A4:Z106,12,FALSE),4),0) - IF(ISNA(VLOOKUP("11.1.1",A4:Z106,12,FALSE)),0,ROUND(VLOOKUP("11.1.1",A4:Z106,12,FALSE),4))) + IF(ISNUMBER(VLOOKUP("1.2.1",A4:Z106,12,FALSE)),ROUND(VLOOKUP("1.2.1",A4:Z106,12,FALSE),4),0) - (IF(ISNUMBER(VLOOKUP("2.1",A4:Z106,12,FALSE)),ROUND(VLOOKUP("2.1",A4:Z106,12,FALSE),4),0) - IF(ISNUMBER(VLOOKUP("9.3.1",A4:Z106,12,FALSE)),ROUND(VLOOKUP("9.3.1",A4:Z106,12,FALSE),4),0) - IF(ISNUMBER(VLOOKUP("10.7.2.1.1",A4:Z106,12,FALSE)),ROUND(VLOOKUP("10.7.2.1.1",A4:Z106,12,FALSE),4),0) - IF(ISNUMBER(VLOOKUP("2.1.3",A4:Z106,12,FALSE)),ROUND(VLOOKUP("2.1.3",A4:Z106,12,FALSE),4),0) - IF(ISNA(VLOOKUP("10.11",A4:Z106,12,FALSE)),0,ROUND(VLOOKUP("10.11",A4:Z106,12,FALSE),4)))) / (IF(ISNUMBER(VLOOKUP("1.1",A4:Z106,12,FALSE)),ROUND(VLOOKUP("1.1",A4:Z106,12,FALSE),4),0) - IF(ISNUMBER(VLOOKUP("1.1.4",A4:Z106,12,FALSE)),ROUND(VLOOKUP("1.1.4",A4:Z106,12,FALSE),4),0) - IF(ISNA(VLOOKUP("11.1.1",A4:Z106,12,FALSE)),0,ROUND(VLOOKUP("11.1.1",A4:Z106,12,FALSE),4)))</f>
        <v>0.13071173679576756</v>
      </c>
      <c r="M65" s="17">
        <f>((IF(ISNUMBER(VLOOKUP("1.1",A4:Z106,13,FALSE)),ROUND(VLOOKUP("1.1",A4:Z106,13,FALSE),4),0) - IF(ISNUMBER(VLOOKUP("9.1.1",A4:Z106,13,FALSE)),ROUND(VLOOKUP("9.1.1",A4:Z106,13,FALSE),4),0) - IF(ISNA(VLOOKUP("11.1.1",A4:Z106,13,FALSE)),0,ROUND(VLOOKUP("11.1.1",A4:Z106,13,FALSE),4))) + IF(ISNUMBER(VLOOKUP("1.2.1",A4:Z106,13,FALSE)),ROUND(VLOOKUP("1.2.1",A4:Z106,13,FALSE),4),0) - (IF(ISNUMBER(VLOOKUP("2.1",A4:Z106,13,FALSE)),ROUND(VLOOKUP("2.1",A4:Z106,13,FALSE),4),0) - IF(ISNUMBER(VLOOKUP("9.3.1",A4:Z106,13,FALSE)),ROUND(VLOOKUP("9.3.1",A4:Z106,13,FALSE),4),0) - IF(ISNUMBER(VLOOKUP("10.7.2.1.1",A4:Z106,13,FALSE)),ROUND(VLOOKUP("10.7.2.1.1",A4:Z106,13,FALSE),4),0) - IF(ISNUMBER(VLOOKUP("2.1.3",A4:Z106,13,FALSE)),ROUND(VLOOKUP("2.1.3",A4:Z106,13,FALSE),4),0) - IF(ISNA(VLOOKUP("10.11",A4:Z106,13,FALSE)),0,ROUND(VLOOKUP("10.11",A4:Z106,13,FALSE),4)))) / (IF(ISNUMBER(VLOOKUP("1.1",A4:Z106,13,FALSE)),ROUND(VLOOKUP("1.1",A4:Z106,13,FALSE),4),0) - IF(ISNUMBER(VLOOKUP("1.1.4",A4:Z106,13,FALSE)),ROUND(VLOOKUP("1.1.4",A4:Z106,13,FALSE),4),0) - IF(ISNA(VLOOKUP("11.1.1",A4:Z106,13,FALSE)),0,ROUND(VLOOKUP("11.1.1",A4:Z106,13,FALSE),4)))</f>
        <v>0.12775516885430016</v>
      </c>
      <c r="N65" s="17">
        <f>((IF(ISNUMBER(VLOOKUP("1.1",A4:Z106,14,FALSE)),ROUND(VLOOKUP("1.1",A4:Z106,14,FALSE),4),0) - IF(ISNUMBER(VLOOKUP("9.1.1",A4:Z106,14,FALSE)),ROUND(VLOOKUP("9.1.1",A4:Z106,14,FALSE),4),0) - IF(ISNA(VLOOKUP("11.1.1",A4:Z106,14,FALSE)),0,ROUND(VLOOKUP("11.1.1",A4:Z106,14,FALSE),4))) + IF(ISNUMBER(VLOOKUP("1.2.1",A4:Z106,14,FALSE)),ROUND(VLOOKUP("1.2.1",A4:Z106,14,FALSE),4),0) - (IF(ISNUMBER(VLOOKUP("2.1",A4:Z106,14,FALSE)),ROUND(VLOOKUP("2.1",A4:Z106,14,FALSE),4),0) - IF(ISNUMBER(VLOOKUP("9.3.1",A4:Z106,14,FALSE)),ROUND(VLOOKUP("9.3.1",A4:Z106,14,FALSE),4),0) - IF(ISNUMBER(VLOOKUP("10.7.2.1.1",A4:Z106,14,FALSE)),ROUND(VLOOKUP("10.7.2.1.1",A4:Z106,14,FALSE),4),0) - IF(ISNUMBER(VLOOKUP("2.1.3",A4:Z106,14,FALSE)),ROUND(VLOOKUP("2.1.3",A4:Z106,14,FALSE),4),0) - IF(ISNA(VLOOKUP("10.11",A4:Z106,14,FALSE)),0,ROUND(VLOOKUP("10.11",A4:Z106,14,FALSE),4)))) / (IF(ISNUMBER(VLOOKUP("1.1",A4:Z106,14,FALSE)),ROUND(VLOOKUP("1.1",A4:Z106,14,FALSE),4),0) - IF(ISNUMBER(VLOOKUP("1.1.4",A4:Z106,14,FALSE)),ROUND(VLOOKUP("1.1.4",A4:Z106,14,FALSE),4),0) - IF(ISNA(VLOOKUP("11.1.1",A4:Z106,14,FALSE)),0,ROUND(VLOOKUP("11.1.1",A4:Z106,14,FALSE),4)))</f>
        <v>0.11520041248416099</v>
      </c>
      <c r="O65" s="17">
        <f>((IF(ISNUMBER(VLOOKUP("1.1",A4:Z106,15,FALSE)),ROUND(VLOOKUP("1.1",A4:Z106,15,FALSE),4),0) - IF(ISNUMBER(VLOOKUP("9.1.1",A4:Z106,15,FALSE)),ROUND(VLOOKUP("9.1.1",A4:Z106,15,FALSE),4),0) - IF(ISNA(VLOOKUP("11.1.1",A4:Z106,15,FALSE)),0,ROUND(VLOOKUP("11.1.1",A4:Z106,15,FALSE),4))) + IF(ISNUMBER(VLOOKUP("1.2.1",A4:Z106,15,FALSE)),ROUND(VLOOKUP("1.2.1",A4:Z106,15,FALSE),4),0) - (IF(ISNUMBER(VLOOKUP("2.1",A4:Z106,15,FALSE)),ROUND(VLOOKUP("2.1",A4:Z106,15,FALSE),4),0) - IF(ISNUMBER(VLOOKUP("9.3.1",A4:Z106,15,FALSE)),ROUND(VLOOKUP("9.3.1",A4:Z106,15,FALSE),4),0) - IF(ISNUMBER(VLOOKUP("10.7.2.1.1",A4:Z106,15,FALSE)),ROUND(VLOOKUP("10.7.2.1.1",A4:Z106,15,FALSE),4),0) - IF(ISNUMBER(VLOOKUP("2.1.3",A4:Z106,15,FALSE)),ROUND(VLOOKUP("2.1.3",A4:Z106,15,FALSE),4),0) - IF(ISNA(VLOOKUP("10.11",A4:Z106,15,FALSE)),0,ROUND(VLOOKUP("10.11",A4:Z106,15,FALSE),4)))) / (IF(ISNUMBER(VLOOKUP("1.1",A4:Z106,15,FALSE)),ROUND(VLOOKUP("1.1",A4:Z106,15,FALSE),4),0) - IF(ISNUMBER(VLOOKUP("1.1.4",A4:Z106,15,FALSE)),ROUND(VLOOKUP("1.1.4",A4:Z106,15,FALSE),4),0) - IF(ISNA(VLOOKUP("11.1.1",A4:Z106,15,FALSE)),0,ROUND(VLOOKUP("11.1.1",A4:Z106,15,FALSE),4)))</f>
        <v>0.13246027404035443</v>
      </c>
      <c r="P65" s="17">
        <f>((IF(ISNUMBER(VLOOKUP("1.1",A4:Z106,16,FALSE)),ROUND(VLOOKUP("1.1",A4:Z106,16,FALSE),4),0) - IF(ISNUMBER(VLOOKUP("9.1.1",A4:Z106,16,FALSE)),ROUND(VLOOKUP("9.1.1",A4:Z106,16,FALSE),4),0) - IF(ISNA(VLOOKUP("11.1.1",A4:Z106,16,FALSE)),0,ROUND(VLOOKUP("11.1.1",A4:Z106,16,FALSE),4))) + IF(ISNUMBER(VLOOKUP("1.2.1",A4:Z106,16,FALSE)),ROUND(VLOOKUP("1.2.1",A4:Z106,16,FALSE),4),0) - (IF(ISNUMBER(VLOOKUP("2.1",A4:Z106,16,FALSE)),ROUND(VLOOKUP("2.1",A4:Z106,16,FALSE),4),0) - IF(ISNUMBER(VLOOKUP("9.3.1",A4:Z106,16,FALSE)),ROUND(VLOOKUP("9.3.1",A4:Z106,16,FALSE),4),0) - IF(ISNUMBER(VLOOKUP("10.7.2.1.1",A4:Z106,16,FALSE)),ROUND(VLOOKUP("10.7.2.1.1",A4:Z106,16,FALSE),4),0) - IF(ISNUMBER(VLOOKUP("2.1.3",A4:Z106,16,FALSE)),ROUND(VLOOKUP("2.1.3",A4:Z106,16,FALSE),4),0) - IF(ISNA(VLOOKUP("10.11",A4:Z106,16,FALSE)),0,ROUND(VLOOKUP("10.11",A4:Z106,16,FALSE),4)))) / (IF(ISNUMBER(VLOOKUP("1.1",A4:Z106,16,FALSE)),ROUND(VLOOKUP("1.1",A4:Z106,16,FALSE),4),0) - IF(ISNUMBER(VLOOKUP("1.1.4",A4:Z106,16,FALSE)),ROUND(VLOOKUP("1.1.4",A4:Z106,16,FALSE),4),0) - IF(ISNA(VLOOKUP("11.1.1",A4:Z106,16,FALSE)),0,ROUND(VLOOKUP("11.1.1",A4:Z106,16,FALSE),4)))</f>
        <v>0.1323040523491226</v>
      </c>
      <c r="Q65" s="17">
        <f>((IF(ISNUMBER(VLOOKUP("1.1",A4:Z106,17,FALSE)),ROUND(VLOOKUP("1.1",A4:Z106,17,FALSE),4),0) - IF(ISNUMBER(VLOOKUP("9.1.1",A4:Z106,17,FALSE)),ROUND(VLOOKUP("9.1.1",A4:Z106,17,FALSE),4),0) - IF(ISNA(VLOOKUP("11.1.1",A4:Z106,17,FALSE)),0,ROUND(VLOOKUP("11.1.1",A4:Z106,17,FALSE),4))) + IF(ISNUMBER(VLOOKUP("1.2.1",A4:Z106,17,FALSE)),ROUND(VLOOKUP("1.2.1",A4:Z106,17,FALSE),4),0) - (IF(ISNUMBER(VLOOKUP("2.1",A4:Z106,17,FALSE)),ROUND(VLOOKUP("2.1",A4:Z106,17,FALSE),4),0) - IF(ISNUMBER(VLOOKUP("9.3.1",A4:Z106,17,FALSE)),ROUND(VLOOKUP("9.3.1",A4:Z106,17,FALSE),4),0) - IF(ISNUMBER(VLOOKUP("10.7.2.1.1",A4:Z106,17,FALSE)),ROUND(VLOOKUP("10.7.2.1.1",A4:Z106,17,FALSE),4),0) - IF(ISNUMBER(VLOOKUP("2.1.3",A4:Z106,17,FALSE)),ROUND(VLOOKUP("2.1.3",A4:Z106,17,FALSE),4),0) - IF(ISNA(VLOOKUP("10.11",A4:Z106,17,FALSE)),0,ROUND(VLOOKUP("10.11",A4:Z106,17,FALSE),4)))) / (IF(ISNUMBER(VLOOKUP("1.1",A4:Z106,17,FALSE)),ROUND(VLOOKUP("1.1",A4:Z106,17,FALSE),4),0) - IF(ISNUMBER(VLOOKUP("1.1.4",A4:Z106,17,FALSE)),ROUND(VLOOKUP("1.1.4",A4:Z106,17,FALSE),4),0) - IF(ISNA(VLOOKUP("11.1.1",A4:Z106,17,FALSE)),0,ROUND(VLOOKUP("11.1.1",A4:Z106,17,FALSE),4)))</f>
        <v>0.11690155456147305</v>
      </c>
      <c r="R65" s="17">
        <f>((IF(ISNUMBER(VLOOKUP("1.1",A4:Z106,18,FALSE)),ROUND(VLOOKUP("1.1",A4:Z106,18,FALSE),4),0) - IF(ISNUMBER(VLOOKUP("9.1.1",A4:Z106,18,FALSE)),ROUND(VLOOKUP("9.1.1",A4:Z106,18,FALSE),4),0) - IF(ISNA(VLOOKUP("11.1.1",A4:Z106,18,FALSE)),0,ROUND(VLOOKUP("11.1.1",A4:Z106,18,FALSE),4))) + IF(ISNUMBER(VLOOKUP("1.2.1",A4:Z106,18,FALSE)),ROUND(VLOOKUP("1.2.1",A4:Z106,18,FALSE),4),0) - (IF(ISNUMBER(VLOOKUP("2.1",A4:Z106,18,FALSE)),ROUND(VLOOKUP("2.1",A4:Z106,18,FALSE),4),0) - IF(ISNUMBER(VLOOKUP("9.3.1",A4:Z106,18,FALSE)),ROUND(VLOOKUP("9.3.1",A4:Z106,18,FALSE),4),0) - IF(ISNUMBER(VLOOKUP("10.7.2.1.1",A4:Z106,18,FALSE)),ROUND(VLOOKUP("10.7.2.1.1",A4:Z106,18,FALSE),4),0) - IF(ISNUMBER(VLOOKUP("2.1.3",A4:Z106,18,FALSE)),ROUND(VLOOKUP("2.1.3",A4:Z106,18,FALSE),4),0) - IF(ISNA(VLOOKUP("10.11",A4:Z106,18,FALSE)),0,ROUND(VLOOKUP("10.11",A4:Z106,18,FALSE),4)))) / (IF(ISNUMBER(VLOOKUP("1.1",A4:Z106,18,FALSE)),ROUND(VLOOKUP("1.1",A4:Z106,18,FALSE),4),0) - IF(ISNUMBER(VLOOKUP("1.1.4",A4:Z106,18,FALSE)),ROUND(VLOOKUP("1.1.4",A4:Z106,18,FALSE),4),0) - IF(ISNA(VLOOKUP("11.1.1",A4:Z106,18,FALSE)),0,ROUND(VLOOKUP("11.1.1",A4:Z106,18,FALSE),4)))</f>
        <v>0.11586987065632789</v>
      </c>
      <c r="S65" s="17">
        <f>((IF(ISNUMBER(VLOOKUP("1.1",A4:Z106,19,FALSE)),ROUND(VLOOKUP("1.1",A4:Z106,19,FALSE),4),0) - IF(ISNUMBER(VLOOKUP("9.1.1",A4:Z106,19,FALSE)),ROUND(VLOOKUP("9.1.1",A4:Z106,19,FALSE),4),0) - IF(ISNA(VLOOKUP("11.1.1",A4:Z106,19,FALSE)),0,ROUND(VLOOKUP("11.1.1",A4:Z106,19,FALSE),4))) + IF(ISNUMBER(VLOOKUP("1.2.1",A4:Z106,19,FALSE)),ROUND(VLOOKUP("1.2.1",A4:Z106,19,FALSE),4),0) - (IF(ISNUMBER(VLOOKUP("2.1",A4:Z106,19,FALSE)),ROUND(VLOOKUP("2.1",A4:Z106,19,FALSE),4),0) - IF(ISNUMBER(VLOOKUP("9.3.1",A4:Z106,19,FALSE)),ROUND(VLOOKUP("9.3.1",A4:Z106,19,FALSE),4),0) - IF(ISNUMBER(VLOOKUP("10.7.2.1.1",A4:Z106,19,FALSE)),ROUND(VLOOKUP("10.7.2.1.1",A4:Z106,19,FALSE),4),0) - IF(ISNUMBER(VLOOKUP("2.1.3",A4:Z106,19,FALSE)),ROUND(VLOOKUP("2.1.3",A4:Z106,19,FALSE),4),0) - IF(ISNA(VLOOKUP("10.11",A4:Z106,19,FALSE)),0,ROUND(VLOOKUP("10.11",A4:Z106,19,FALSE),4)))) / (IF(ISNUMBER(VLOOKUP("1.1",A4:Z106,19,FALSE)),ROUND(VLOOKUP("1.1",A4:Z106,19,FALSE),4),0) - IF(ISNUMBER(VLOOKUP("1.1.4",A4:Z106,19,FALSE)),ROUND(VLOOKUP("1.1.4",A4:Z106,19,FALSE),4),0) - IF(ISNA(VLOOKUP("11.1.1",A4:Z106,19,FALSE)),0,ROUND(VLOOKUP("11.1.1",A4:Z106,19,FALSE),4)))</f>
        <v>0.11503124637873094</v>
      </c>
      <c r="T65" s="17">
        <f>((IF(ISNUMBER(VLOOKUP("1.1",A4:Z106,20,FALSE)),ROUND(VLOOKUP("1.1",A4:Z106,20,FALSE),4),0) - IF(ISNUMBER(VLOOKUP("9.1.1",A4:Z106,20,FALSE)),ROUND(VLOOKUP("9.1.1",A4:Z106,20,FALSE),4),0) - IF(ISNA(VLOOKUP("11.1.1",A4:Z106,20,FALSE)),0,ROUND(VLOOKUP("11.1.1",A4:Z106,20,FALSE),4))) + IF(ISNUMBER(VLOOKUP("1.2.1",A4:Z106,20,FALSE)),ROUND(VLOOKUP("1.2.1",A4:Z106,20,FALSE),4),0) - (IF(ISNUMBER(VLOOKUP("2.1",A4:Z106,20,FALSE)),ROUND(VLOOKUP("2.1",A4:Z106,20,FALSE),4),0) - IF(ISNUMBER(VLOOKUP("9.3.1",A4:Z106,20,FALSE)),ROUND(VLOOKUP("9.3.1",A4:Z106,20,FALSE),4),0) - IF(ISNUMBER(VLOOKUP("10.7.2.1.1",A4:Z106,20,FALSE)),ROUND(VLOOKUP("10.7.2.1.1",A4:Z106,20,FALSE),4),0) - IF(ISNUMBER(VLOOKUP("2.1.3",A4:Z106,20,FALSE)),ROUND(VLOOKUP("2.1.3",A4:Z106,20,FALSE),4),0) - IF(ISNA(VLOOKUP("10.11",A4:Z106,20,FALSE)),0,ROUND(VLOOKUP("10.11",A4:Z106,20,FALSE),4)))) / (IF(ISNUMBER(VLOOKUP("1.1",A4:Z106,20,FALSE)),ROUND(VLOOKUP("1.1",A4:Z106,20,FALSE),4),0) - IF(ISNUMBER(VLOOKUP("1.1.4",A4:Z106,20,FALSE)),ROUND(VLOOKUP("1.1.4",A4:Z106,20,FALSE),4),0) - IF(ISNA(VLOOKUP("11.1.1",A4:Z106,20,FALSE)),0,ROUND(VLOOKUP("11.1.1",A4:Z106,20,FALSE),4)))</f>
        <v>0.11786922072375987</v>
      </c>
      <c r="U65" s="17">
        <f>((IF(ISNUMBER(VLOOKUP("1.1",A4:Z106,21,FALSE)),ROUND(VLOOKUP("1.1",A4:Z106,21,FALSE),4),0) - IF(ISNUMBER(VLOOKUP("9.1.1",A4:Z106,21,FALSE)),ROUND(VLOOKUP("9.1.1",A4:Z106,21,FALSE),4),0) - IF(ISNA(VLOOKUP("11.1.1",A4:Z106,21,FALSE)),0,ROUND(VLOOKUP("11.1.1",A4:Z106,21,FALSE),4))) + IF(ISNUMBER(VLOOKUP("1.2.1",A4:Z106,21,FALSE)),ROUND(VLOOKUP("1.2.1",A4:Z106,21,FALSE),4),0) - (IF(ISNUMBER(VLOOKUP("2.1",A4:Z106,21,FALSE)),ROUND(VLOOKUP("2.1",A4:Z106,21,FALSE),4),0) - IF(ISNUMBER(VLOOKUP("9.3.1",A4:Z106,21,FALSE)),ROUND(VLOOKUP("9.3.1",A4:Z106,21,FALSE),4),0) - IF(ISNUMBER(VLOOKUP("10.7.2.1.1",A4:Z106,21,FALSE)),ROUND(VLOOKUP("10.7.2.1.1",A4:Z106,21,FALSE),4),0) - IF(ISNUMBER(VLOOKUP("2.1.3",A4:Z106,21,FALSE)),ROUND(VLOOKUP("2.1.3",A4:Z106,21,FALSE),4),0) - IF(ISNA(VLOOKUP("10.11",A4:Z106,21,FALSE)),0,ROUND(VLOOKUP("10.11",A4:Z106,21,FALSE),4)))) / (IF(ISNUMBER(VLOOKUP("1.1",A4:Z106,21,FALSE)),ROUND(VLOOKUP("1.1",A4:Z106,21,FALSE),4),0) - IF(ISNUMBER(VLOOKUP("1.1.4",A4:Z106,21,FALSE)),ROUND(VLOOKUP("1.1.4",A4:Z106,21,FALSE),4),0) - IF(ISNA(VLOOKUP("11.1.1",A4:Z106,21,FALSE)),0,ROUND(VLOOKUP("11.1.1",A4:Z106,21,FALSE),4)))</f>
        <v>0.11876011259468376</v>
      </c>
      <c r="V65" s="17">
        <f>((IF(ISNUMBER(VLOOKUP("1.1",A4:Z106,22,FALSE)),ROUND(VLOOKUP("1.1",A4:Z106,22,FALSE),4),0) - IF(ISNUMBER(VLOOKUP("9.1.1",A4:Z106,22,FALSE)),ROUND(VLOOKUP("9.1.1",A4:Z106,22,FALSE),4),0) - IF(ISNA(VLOOKUP("11.1.1",A4:Z106,22,FALSE)),0,ROUND(VLOOKUP("11.1.1",A4:Z106,22,FALSE),4))) + IF(ISNUMBER(VLOOKUP("1.2.1",A4:Z106,22,FALSE)),ROUND(VLOOKUP("1.2.1",A4:Z106,22,FALSE),4),0) - (IF(ISNUMBER(VLOOKUP("2.1",A4:Z106,22,FALSE)),ROUND(VLOOKUP("2.1",A4:Z106,22,FALSE),4),0) - IF(ISNUMBER(VLOOKUP("9.3.1",A4:Z106,22,FALSE)),ROUND(VLOOKUP("9.3.1",A4:Z106,22,FALSE),4),0) - IF(ISNUMBER(VLOOKUP("10.7.2.1.1",A4:Z106,22,FALSE)),ROUND(VLOOKUP("10.7.2.1.1",A4:Z106,22,FALSE),4),0) - IF(ISNUMBER(VLOOKUP("2.1.3",A4:Z106,22,FALSE)),ROUND(VLOOKUP("2.1.3",A4:Z106,22,FALSE),4),0) - IF(ISNA(VLOOKUP("10.11",A4:Z106,22,FALSE)),0,ROUND(VLOOKUP("10.11",A4:Z106,22,FALSE),4)))) / (IF(ISNUMBER(VLOOKUP("1.1",A4:Z106,22,FALSE)),ROUND(VLOOKUP("1.1",A4:Z106,22,FALSE),4),0) - IF(ISNUMBER(VLOOKUP("1.1.4",A4:Z106,22,FALSE)),ROUND(VLOOKUP("1.1.4",A4:Z106,22,FALSE),4),0) - IF(ISNA(VLOOKUP("11.1.1",A4:Z106,22,FALSE)),0,ROUND(VLOOKUP("11.1.1",A4:Z106,22,FALSE),4)))</f>
        <v>0.12065577475403615</v>
      </c>
      <c r="W65" s="17">
        <f>((IF(ISNUMBER(VLOOKUP("1.1",A4:Z106,23,FALSE)),ROUND(VLOOKUP("1.1",A4:Z106,23,FALSE),4),0) - IF(ISNUMBER(VLOOKUP("9.1.1",A4:Z106,23,FALSE)),ROUND(VLOOKUP("9.1.1",A4:Z106,23,FALSE),4),0) - IF(ISNA(VLOOKUP("11.1.1",A4:Z106,23,FALSE)),0,ROUND(VLOOKUP("11.1.1",A4:Z106,23,FALSE),4))) + IF(ISNUMBER(VLOOKUP("1.2.1",A4:Z106,23,FALSE)),ROUND(VLOOKUP("1.2.1",A4:Z106,23,FALSE),4),0) - (IF(ISNUMBER(VLOOKUP("2.1",A4:Z106,23,FALSE)),ROUND(VLOOKUP("2.1",A4:Z106,23,FALSE),4),0) - IF(ISNUMBER(VLOOKUP("9.3.1",A4:Z106,23,FALSE)),ROUND(VLOOKUP("9.3.1",A4:Z106,23,FALSE),4),0) - IF(ISNUMBER(VLOOKUP("10.7.2.1.1",A4:Z106,23,FALSE)),ROUND(VLOOKUP("10.7.2.1.1",A4:Z106,23,FALSE),4),0) - IF(ISNUMBER(VLOOKUP("2.1.3",A4:Z106,23,FALSE)),ROUND(VLOOKUP("2.1.3",A4:Z106,23,FALSE),4),0) - IF(ISNA(VLOOKUP("10.11",A4:Z106,23,FALSE)),0,ROUND(VLOOKUP("10.11",A4:Z106,23,FALSE),4)))) / (IF(ISNUMBER(VLOOKUP("1.1",A4:Z106,23,FALSE)),ROUND(VLOOKUP("1.1",A4:Z106,23,FALSE),4),0) - IF(ISNUMBER(VLOOKUP("1.1.4",A4:Z106,23,FALSE)),ROUND(VLOOKUP("1.1.4",A4:Z106,23,FALSE),4),0) - IF(ISNA(VLOOKUP("11.1.1",A4:Z106,23,FALSE)),0,ROUND(VLOOKUP("11.1.1",A4:Z106,23,FALSE),4)))</f>
        <v>0.12201472424135738</v>
      </c>
      <c r="X65" s="17">
        <f>((IF(ISNUMBER(VLOOKUP("1.1",A4:Z106,24,FALSE)),ROUND(VLOOKUP("1.1",A4:Z106,24,FALSE),4),0) - IF(ISNUMBER(VLOOKUP("9.1.1",A4:Z106,24,FALSE)),ROUND(VLOOKUP("9.1.1",A4:Z106,24,FALSE),4),0) - IF(ISNA(VLOOKUP("11.1.1",A4:Z106,24,FALSE)),0,ROUND(VLOOKUP("11.1.1",A4:Z106,24,FALSE),4))) + IF(ISNUMBER(VLOOKUP("1.2.1",A4:Z106,24,FALSE)),ROUND(VLOOKUP("1.2.1",A4:Z106,24,FALSE),4),0) - (IF(ISNUMBER(VLOOKUP("2.1",A4:Z106,24,FALSE)),ROUND(VLOOKUP("2.1",A4:Z106,24,FALSE),4),0) - IF(ISNUMBER(VLOOKUP("9.3.1",A4:Z106,24,FALSE)),ROUND(VLOOKUP("9.3.1",A4:Z106,24,FALSE),4),0) - IF(ISNUMBER(VLOOKUP("10.7.2.1.1",A4:Z106,24,FALSE)),ROUND(VLOOKUP("10.7.2.1.1",A4:Z106,24,FALSE),4),0) - IF(ISNUMBER(VLOOKUP("2.1.3",A4:Z106,24,FALSE)),ROUND(VLOOKUP("2.1.3",A4:Z106,24,FALSE),4),0) - IF(ISNA(VLOOKUP("10.11",A4:Z106,24,FALSE)),0,ROUND(VLOOKUP("10.11",A4:Z106,24,FALSE),4)))) / (IF(ISNUMBER(VLOOKUP("1.1",A4:Z106,24,FALSE)),ROUND(VLOOKUP("1.1",A4:Z106,24,FALSE),4),0) - IF(ISNUMBER(VLOOKUP("1.1.4",A4:Z106,24,FALSE)),ROUND(VLOOKUP("1.1.4",A4:Z106,24,FALSE),4),0) - IF(ISNA(VLOOKUP("11.1.1",A4:Z106,24,FALSE)),0,ROUND(VLOOKUP("11.1.1",A4:Z106,24,FALSE),4)))</f>
        <v>0.12385452136995685</v>
      </c>
      <c r="Y65" s="17">
        <f>((IF(ISNUMBER(VLOOKUP("1.1",A4:Z106,25,FALSE)),ROUND(VLOOKUP("1.1",A4:Z106,25,FALSE),4),0) - IF(ISNUMBER(VLOOKUP("9.1.1",A4:Z106,25,FALSE)),ROUND(VLOOKUP("9.1.1",A4:Z106,25,FALSE),4),0) - IF(ISNA(VLOOKUP("11.1.1",A4:Z106,25,FALSE)),0,ROUND(VLOOKUP("11.1.1",A4:Z106,25,FALSE),4))) + IF(ISNUMBER(VLOOKUP("1.2.1",A4:Z106,25,FALSE)),ROUND(VLOOKUP("1.2.1",A4:Z106,25,FALSE),4),0) - (IF(ISNUMBER(VLOOKUP("2.1",A4:Z106,25,FALSE)),ROUND(VLOOKUP("2.1",A4:Z106,25,FALSE),4),0) - IF(ISNUMBER(VLOOKUP("9.3.1",A4:Z106,25,FALSE)),ROUND(VLOOKUP("9.3.1",A4:Z106,25,FALSE),4),0) - IF(ISNUMBER(VLOOKUP("10.7.2.1.1",A4:Z106,25,FALSE)),ROUND(VLOOKUP("10.7.2.1.1",A4:Z106,25,FALSE),4),0) - IF(ISNUMBER(VLOOKUP("2.1.3",A4:Z106,25,FALSE)),ROUND(VLOOKUP("2.1.3",A4:Z106,25,FALSE),4),0) - IF(ISNA(VLOOKUP("10.11",A4:Z106,25,FALSE)),0,ROUND(VLOOKUP("10.11",A4:Z106,25,FALSE),4)))) / (IF(ISNUMBER(VLOOKUP("1.1",A4:Z106,25,FALSE)),ROUND(VLOOKUP("1.1",A4:Z106,25,FALSE),4),0) - IF(ISNUMBER(VLOOKUP("1.1.4",A4:Z106,25,FALSE)),ROUND(VLOOKUP("1.1.4",A4:Z106,25,FALSE),4),0) - IF(ISNA(VLOOKUP("11.1.1",A4:Z106,25,FALSE)),0,ROUND(VLOOKUP("11.1.1",A4:Z106,25,FALSE),4)))</f>
        <v>0.12604971482580074</v>
      </c>
      <c r="Z65" s="17">
        <f>((IF(ISNUMBER(VLOOKUP("1.1",A4:Z106,26,FALSE)),ROUND(VLOOKUP("1.1",A4:Z106,26,FALSE),4),0) - IF(ISNUMBER(VLOOKUP("9.1.1",A4:Z106,26,FALSE)),ROUND(VLOOKUP("9.1.1",A4:Z106,26,FALSE),4),0) - IF(ISNA(VLOOKUP("11.1.1",A4:Z106,26,FALSE)),0,ROUND(VLOOKUP("11.1.1",A4:Z106,26,FALSE),4))) + IF(ISNUMBER(VLOOKUP("1.2.1",A4:Z106,26,FALSE)),ROUND(VLOOKUP("1.2.1",A4:Z106,26,FALSE),4),0) - (IF(ISNUMBER(VLOOKUP("2.1",A4:Z106,26,FALSE)),ROUND(VLOOKUP("2.1",A4:Z106,26,FALSE),4),0) - IF(ISNUMBER(VLOOKUP("9.3.1",A4:Z106,26,FALSE)),ROUND(VLOOKUP("9.3.1",A4:Z106,26,FALSE),4),0) - IF(ISNUMBER(VLOOKUP("10.7.2.1.1",A4:Z106,26,FALSE)),ROUND(VLOOKUP("10.7.2.1.1",A4:Z106,26,FALSE),4),0) - IF(ISNUMBER(VLOOKUP("2.1.3",A4:Z106,26,FALSE)),ROUND(VLOOKUP("2.1.3",A4:Z106,26,FALSE),4),0) - IF(ISNA(VLOOKUP("10.11",A4:Z106,26,FALSE)),0,ROUND(VLOOKUP("10.11",A4:Z106,26,FALSE),4)))) / (IF(ISNUMBER(VLOOKUP("1.1",A4:Z106,26,FALSE)),ROUND(VLOOKUP("1.1",A4:Z106,26,FALSE),4),0) - IF(ISNUMBER(VLOOKUP("1.1.4",A4:Z106,26,FALSE)),ROUND(VLOOKUP("1.1.4",A4:Z106,26,FALSE),4),0) - IF(ISNA(VLOOKUP("11.1.1",A4:Z106,26,FALSE)),0,ROUND(VLOOKUP("11.1.1",A4:Z106,26,FALSE),4)))</f>
        <v>0.14471252594866357</v>
      </c>
    </row>
    <row r="66" spans="1:26" ht="78.599999999999994" customHeight="1" x14ac:dyDescent="0.3">
      <c r="A66" s="14" t="s">
        <v>144</v>
      </c>
      <c r="B66" s="15" t="s">
        <v>145</v>
      </c>
      <c r="C66" s="16">
        <f t="shared" ref="C66:J67" si="0">0.15</f>
        <v>0.15</v>
      </c>
      <c r="D66" s="16">
        <f t="shared" si="0"/>
        <v>0.15</v>
      </c>
      <c r="E66" s="16">
        <f t="shared" si="0"/>
        <v>0.15</v>
      </c>
      <c r="F66" s="16">
        <f t="shared" si="0"/>
        <v>0.15</v>
      </c>
      <c r="G66" s="16">
        <f t="shared" si="0"/>
        <v>0.15</v>
      </c>
      <c r="H66" s="16">
        <f t="shared" si="0"/>
        <v>0.15</v>
      </c>
      <c r="I66" s="16">
        <f t="shared" si="0"/>
        <v>0.15</v>
      </c>
      <c r="J66" s="16">
        <f t="shared" si="0"/>
        <v>0.15</v>
      </c>
      <c r="K66" s="17">
        <f>(IF(ISNUMBER(VLOOKUP("8.2.x",A4:Z106,3,FALSE)),ROUND(VLOOKUP("8.2.x",A4:Z106,3,FALSE),4),0)+IF(ISNUMBER(VLOOKUP("8.2.x",A4:Z106,4,FALSE)),ROUND(VLOOKUP("8.2.x",A4:Z106,4,FALSE),4),0)+IF(ISNUMBER(VLOOKUP("8.2.x",A4:Z106,5,FALSE)),ROUND(VLOOKUP("8.2.x",A4:Z106,5,FALSE),4),0)+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106,9,FALSE)),ROUND(VLOOKUP("8.2.x",A4:Z106,9,FALSE),4),0))/7</f>
        <v>0.15258571428571427</v>
      </c>
      <c r="L66" s="17">
        <f>(IF(ISNUMBER(VLOOKUP("8.2.x",A4:Z106,4,FALSE)),ROUND(VLOOKUP("8.2.x",A4:Z106,4,FALSE),4),0)+IF(ISNUMBER(VLOOKUP("8.2.x",A4:Z106,5,FALSE)),ROUND(VLOOKUP("8.2.x",A4:Z106,5,FALSE),4),0)+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106,9,FALSE)),ROUND(VLOOKUP("8.2.x",A4:Z106,9,FALSE),4),0)+IF(ISNUMBER(VLOOKUP("8.2",A4:Z106,11,FALSE)),ROUND(VLOOKUP("8.2",A4:Z106,11,FALSE),4),0))/7</f>
        <v>0.1444857142857143</v>
      </c>
      <c r="M66" s="17">
        <f>(IF(ISNUMBER(VLOOKUP("8.2.x",A4:Z106,5,FALSE)),ROUND(VLOOKUP("8.2.x",A4:Z106,5,FALSE),4),0)+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106,9,FALSE)),ROUND(VLOOKUP("8.2.x",A4:Z106,9,FALSE),4),0)+IF(ISNUMBER(VLOOKUP("8.2",A4:Z106,11,FALSE)),ROUND(VLOOKUP("8.2",A4:Z106,11,FALSE),4),0)+IF(ISNUMBER(VLOOKUP("8.2",A4:Z106,12,FALSE)),ROUND(VLOOKUP("8.2",A4:Z106,12,FALSE),4),0))/7</f>
        <v>0.14015714285714284</v>
      </c>
      <c r="N66" s="17">
        <f>(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106,9,FALSE)),ROUND(VLOOKUP("8.2.x",A4:Z106,9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)/7</f>
        <v>0.12322857142857144</v>
      </c>
      <c r="O66" s="17">
        <f>(IF(ISNUMBER(VLOOKUP("8.2.x",A4:Z106,7,FALSE)),ROUND(VLOOKUP("8.2.x",A4:Z106,7,FALSE),4),0)+IF(ISNUMBER(VLOOKUP("8.2.x",A4:Z106,8,FALSE)),ROUND(VLOOKUP("8.2.x",A4:Z106,8,FALSE),4),0)+IF(ISNUMBER(VLOOKUP("8.2.x",A4:Z106,9,FALSE)),ROUND(VLOOKUP("8.2.x",A4:Z106,9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)/7</f>
        <v>0.10951428571428572</v>
      </c>
      <c r="P66" s="17">
        <f>(IF(ISNUMBER(VLOOKUP("8.2.x",A4:Z106,8,FALSE)),ROUND(VLOOKUP("8.2.x",A4:Z106,8,FALSE),4),0)+IF(ISNUMBER(VLOOKUP("8.2.x",A4:Z106,9,FALSE)),ROUND(VLOOKUP("8.2.x",A4:Z106,9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)/7</f>
        <v>0.11171428571428572</v>
      </c>
      <c r="Q66" s="17">
        <f>(IF(ISNUMBER(VLOOKUP("8.2.x",A4:Z106,9,FALSE)),ROUND(VLOOKUP("8.2.x",A4:Z106,9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)/7</f>
        <v>0.12198571428571429</v>
      </c>
      <c r="R66" s="17">
        <f>(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)/7</f>
        <v>0.12134285714285713</v>
      </c>
      <c r="S66" s="17">
        <f>(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)/7</f>
        <v>0.12021428571428572</v>
      </c>
      <c r="T66" s="17">
        <f>(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)/7</f>
        <v>0.11905714285714286</v>
      </c>
      <c r="U66" s="17">
        <f>(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)/7</f>
        <v>0.11841428571428571</v>
      </c>
      <c r="V66" s="17">
        <f>(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)/7</f>
        <v>0.11877142857142856</v>
      </c>
      <c r="W66" s="17">
        <f>(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)/7</f>
        <v>0.11695714285714286</v>
      </c>
      <c r="X66" s="17">
        <f>(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+IF(ISNUMBER(VLOOKUP("8.2",A4:Z106,23,FALSE)),ROUND(VLOOKUP("8.2",A4:Z106,23,FALSE),4),0))/7</f>
        <v>0.11557142857142856</v>
      </c>
      <c r="Y66" s="17">
        <f>(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+IF(ISNUMBER(VLOOKUP("8.2",A4:Z106,23,FALSE)),ROUND(VLOOKUP("8.2",A4:Z106,23,FALSE),4),0)+IF(ISNUMBER(VLOOKUP("8.2",A4:Z106,24,FALSE)),ROUND(VLOOKUP("8.2",A4:Z106,24,FALSE),4),0))/7</f>
        <v>0.11664285714285715</v>
      </c>
      <c r="Z66" s="17">
        <f>(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+IF(ISNUMBER(VLOOKUP("8.2",A4:Z106,23,FALSE)),ROUND(VLOOKUP("8.2",A4:Z106,23,FALSE),4),0)+IF(ISNUMBER(VLOOKUP("8.2",A4:Z106,24,FALSE)),ROUND(VLOOKUP("8.2",A4:Z106,24,FALSE),4),0)+IF(ISNUMBER(VLOOKUP("8.2",A4:Z106,25,FALSE)),ROUND(VLOOKUP("8.2",A4:Z106,25,FALSE),4),0))/7</f>
        <v>0.11798571428571428</v>
      </c>
    </row>
    <row r="67" spans="1:26" ht="78.599999999999994" customHeight="1" x14ac:dyDescent="0.3">
      <c r="A67" s="14" t="s">
        <v>146</v>
      </c>
      <c r="B67" s="15" t="s">
        <v>147</v>
      </c>
      <c r="C67" s="16">
        <f t="shared" si="0"/>
        <v>0.15</v>
      </c>
      <c r="D67" s="16">
        <f t="shared" si="0"/>
        <v>0.15</v>
      </c>
      <c r="E67" s="16">
        <f t="shared" si="0"/>
        <v>0.15</v>
      </c>
      <c r="F67" s="16">
        <f t="shared" si="0"/>
        <v>0.15</v>
      </c>
      <c r="G67" s="16">
        <f t="shared" si="0"/>
        <v>0.15</v>
      </c>
      <c r="H67" s="16">
        <f t="shared" si="0"/>
        <v>0.15</v>
      </c>
      <c r="I67" s="16">
        <f t="shared" si="0"/>
        <v>0.15</v>
      </c>
      <c r="J67" s="16">
        <f t="shared" si="0"/>
        <v>0.15</v>
      </c>
      <c r="K67" s="17">
        <f>(IF(ISNUMBER(VLOOKUP("8.2.x",A4:Z106,3,FALSE)),ROUND(VLOOKUP("8.2.x",A4:Z106,3,FALSE),4),0)+IF(ISNUMBER(VLOOKUP("8.2.x",A4:Z106,4,FALSE)),ROUND(VLOOKUP("8.2.x",A4:Z106,4,FALSE),4),0)+IF(ISNUMBER(VLOOKUP("8.2.x",A4:Z106,5,FALSE)),ROUND(VLOOKUP("8.2.x",A4:Z106,5,FALSE),4),0)+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106,10,FALSE)),ROUND(VLOOKUP("8.2.x",A4:Z106,10,FALSE),4),0))/7</f>
        <v>0.16327142857142857</v>
      </c>
      <c r="L67" s="17">
        <f>(IF(ISNUMBER(VLOOKUP("8.2.x",A4:Z106,4,FALSE)),ROUND(VLOOKUP("8.2.x",A4:Z106,4,FALSE),4),0)+IF(ISNUMBER(VLOOKUP("8.2.x",A4:Z106,5,FALSE)),ROUND(VLOOKUP("8.2.x",A4:Z106,5,FALSE),4),0)+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106,10,FALSE)),ROUND(VLOOKUP("8.2.x",A4:Z106,10,FALSE),4),0)+IF(ISNUMBER(VLOOKUP("8.2",A4:Z106,11,FALSE)),ROUND(VLOOKUP("8.2",A4:Z106,11,FALSE),4),0))/7</f>
        <v>0.15517142857142857</v>
      </c>
      <c r="M67" s="17">
        <f>(IF(ISNUMBER(VLOOKUP("8.2.x",A4:Z106,5,FALSE)),ROUND(VLOOKUP("8.2.x",A4:Z106,5,FALSE),4),0)+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106,10,FALSE)),ROUND(VLOOKUP("8.2.x",A4:Z106,10,FALSE),4),0)+IF(ISNUMBER(VLOOKUP("8.2",A4:Z106,11,FALSE)),ROUND(VLOOKUP("8.2",A4:Z106,11,FALSE),4),0)+IF(ISNUMBER(VLOOKUP("8.2",A4:Z106,12,FALSE)),ROUND(VLOOKUP("8.2",A4:Z106,12,FALSE),4),0))/7</f>
        <v>0.15084285714285714</v>
      </c>
      <c r="N67" s="17">
        <f>(IF(ISNUMBER(VLOOKUP("8.2.x",A4:Z106,6,FALSE)),ROUND(VLOOKUP("8.2.x",A4:Z106,6,FALSE),4),0)+IF(ISNUMBER(VLOOKUP("8.2.x",A4:Z106,7,FALSE)),ROUND(VLOOKUP("8.2.x",A4:Z106,7,FALSE),4),0)+IF(ISNUMBER(VLOOKUP("8.2.x",A4:Z106,8,FALSE)),ROUND(VLOOKUP("8.2.x",A4:Z106,8,FALSE),4),0)+IF(ISNUMBER(VLOOKUP("8.2.x",A4:Z106,10,FALSE)),ROUND(VLOOKUP("8.2.x",A4:Z106,10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)/7</f>
        <v>0.13391428571428571</v>
      </c>
      <c r="O67" s="17">
        <f>(IF(ISNUMBER(VLOOKUP("8.2.x",A4:Z106,7,FALSE)),ROUND(VLOOKUP("8.2.x",A4:Z106,7,FALSE),4),0)+IF(ISNUMBER(VLOOKUP("8.2.x",A4:Z106,8,FALSE)),ROUND(VLOOKUP("8.2.x",A4:Z106,8,FALSE),4),0)+IF(ISNUMBER(VLOOKUP("8.2.x",A4:Z106,10,FALSE)),ROUND(VLOOKUP("8.2.x",A4:Z106,10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)/7</f>
        <v>0.1202</v>
      </c>
      <c r="P67" s="17">
        <f>(IF(ISNUMBER(VLOOKUP("8.2.x",A4:Z106,8,FALSE)),ROUND(VLOOKUP("8.2.x",A4:Z106,8,FALSE),4),0)+IF(ISNUMBER(VLOOKUP("8.2.x",A4:Z106,10,FALSE)),ROUND(VLOOKUP("8.2.x",A4:Z106,10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)/7</f>
        <v>0.12239999999999999</v>
      </c>
      <c r="Q67" s="17">
        <f>(IF(ISNUMBER(VLOOKUP("8.2.x",A4:Z106,10,FALSE)),ROUND(VLOOKUP("8.2.x",A4:Z106,10,FALSE),4),0)+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)/7</f>
        <v>0.13267142857142858</v>
      </c>
      <c r="R67" s="17">
        <f>(IF(ISNUMBER(VLOOKUP("8.2",A4:Z106,11,FALSE)),ROUND(VLOOKUP("8.2",A4:Z106,11,FALSE),4),0)+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)/7</f>
        <v>0.12134285714285713</v>
      </c>
      <c r="S67" s="17">
        <f>(IF(ISNUMBER(VLOOKUP("8.2",A4:Z106,12,FALSE)),ROUND(VLOOKUP("8.2",A4:Z106,12,FALSE),4),0)+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)/7</f>
        <v>0.12021428571428572</v>
      </c>
      <c r="T67" s="17">
        <f>(IF(ISNUMBER(VLOOKUP("8.2",A4:Z106,13,FALSE)),ROUND(VLOOKUP("8.2",A4:Z106,13,FALSE),4),0)+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)/7</f>
        <v>0.11905714285714286</v>
      </c>
      <c r="U67" s="17">
        <f>(IF(ISNUMBER(VLOOKUP("8.2",A4:Z106,14,FALSE)),ROUND(VLOOKUP("8.2",A4:Z106,14,FALSE),4),0)+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)/7</f>
        <v>0.11841428571428571</v>
      </c>
      <c r="V67" s="17">
        <f>(IF(ISNUMBER(VLOOKUP("8.2",A4:Z106,15,FALSE)),ROUND(VLOOKUP("8.2",A4:Z106,15,FALSE),4),0)+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)/7</f>
        <v>0.11877142857142856</v>
      </c>
      <c r="W67" s="17">
        <f>(IF(ISNUMBER(VLOOKUP("8.2",A4:Z106,16,FALSE)),ROUND(VLOOKUP("8.2",A4:Z106,16,FALSE),4),0)+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)/7</f>
        <v>0.11695714285714286</v>
      </c>
      <c r="X67" s="17">
        <f>(IF(ISNUMBER(VLOOKUP("8.2",A4:Z106,17,FALSE)),ROUND(VLOOKUP("8.2",A4:Z106,17,FALSE),4),0)+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+IF(ISNUMBER(VLOOKUP("8.2",A4:Z106,23,FALSE)),ROUND(VLOOKUP("8.2",A4:Z106,23,FALSE),4),0))/7</f>
        <v>0.11557142857142856</v>
      </c>
      <c r="Y67" s="17">
        <f>(IF(ISNUMBER(VLOOKUP("8.2",A4:Z106,18,FALSE)),ROUND(VLOOKUP("8.2",A4:Z106,18,FALSE),4),0)+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+IF(ISNUMBER(VLOOKUP("8.2",A4:Z106,23,FALSE)),ROUND(VLOOKUP("8.2",A4:Z106,23,FALSE),4),0)+IF(ISNUMBER(VLOOKUP("8.2",A4:Z106,24,FALSE)),ROUND(VLOOKUP("8.2",A4:Z106,24,FALSE),4),0))/7</f>
        <v>0.11664285714285715</v>
      </c>
      <c r="Z67" s="17">
        <f>(IF(ISNUMBER(VLOOKUP("8.2",A4:Z106,19,FALSE)),ROUND(VLOOKUP("8.2",A4:Z106,19,FALSE),4),0)+IF(ISNUMBER(VLOOKUP("8.2",A4:Z106,20,FALSE)),ROUND(VLOOKUP("8.2",A4:Z106,20,FALSE),4),0)+IF(ISNUMBER(VLOOKUP("8.2",A4:Z106,21,FALSE)),ROUND(VLOOKUP("8.2",A4:Z106,21,FALSE),4),0)+IF(ISNUMBER(VLOOKUP("8.2",A4:Z106,22,FALSE)),ROUND(VLOOKUP("8.2",A4:Z106,22,FALSE),4),0)+IF(ISNUMBER(VLOOKUP("8.2",A4:Z106,23,FALSE)),ROUND(VLOOKUP("8.2",A4:Z106,23,FALSE),4),0)+IF(ISNUMBER(VLOOKUP("8.2",A4:Z106,24,FALSE)),ROUND(VLOOKUP("8.2",A4:Z106,24,FALSE),4),0)+IF(ISNUMBER(VLOOKUP("8.2",A4:Z106,25,FALSE)),ROUND(VLOOKUP("8.2",A4:Z106,25,FALSE),4),0))/7</f>
        <v>0.11798571428571428</v>
      </c>
    </row>
    <row r="68" spans="1:26" ht="78.599999999999994" customHeight="1" x14ac:dyDescent="0.3">
      <c r="A68" s="2" t="s">
        <v>148</v>
      </c>
      <c r="B68" s="3" t="s">
        <v>149</v>
      </c>
      <c r="C68" s="18" t="str">
        <f>IF(IF(ISNUMBER(VLOOKUP("8.1",A4:Z106,3,FALSE)),ROUND(VLOOKUP("8.1",A4:Z106,3,FALSE),4),0) - IF(ISNUMBER(VLOOKUP("8.3",A4:Z106,3,FALSE)),ROUND(VLOOKUP("8.3",A4:Z106,3,FALSE),4),0) &lt;= 0, "Tak", "Nie")</f>
        <v>Tak</v>
      </c>
      <c r="D68" s="18" t="str">
        <f>IF(IF(ISNUMBER(VLOOKUP("8.1",A4:Z106,4,FALSE)),ROUND(VLOOKUP("8.1",A4:Z106,4,FALSE),4),0) - IF(ISNUMBER(VLOOKUP("8.3",A4:Z106,4,FALSE)),ROUND(VLOOKUP("8.3",A4:Z106,4,FALSE),4),0) &lt;= 0, "Tak", "Nie")</f>
        <v>Tak</v>
      </c>
      <c r="E68" s="18" t="str">
        <f>IF(IF(ISNUMBER(VLOOKUP("8.1",A4:Z106,5,FALSE)),ROUND(VLOOKUP("8.1",A4:Z106,5,FALSE),4),0) - IF(ISNUMBER(VLOOKUP("8.3",A4:Z106,5,FALSE)),ROUND(VLOOKUP("8.3",A4:Z106,5,FALSE),4),0) &lt;= 0, "Tak", "Nie")</f>
        <v>Tak</v>
      </c>
      <c r="F68" s="18" t="str">
        <f>IF(IF(ISNUMBER(VLOOKUP("8.1",A4:Z106,6,FALSE)),ROUND(VLOOKUP("8.1",A4:Z106,6,FALSE),4),0) - IF(ISNUMBER(VLOOKUP("8.3",A4:Z106,6,FALSE)),ROUND(VLOOKUP("8.3",A4:Z106,6,FALSE),4),0) &lt;= 0, "Tak", "Nie")</f>
        <v>Tak</v>
      </c>
      <c r="G68" s="18" t="str">
        <f>IF(IF(ISNUMBER(VLOOKUP("8.1",A4:Z106,7,FALSE)),ROUND(VLOOKUP("8.1",A4:Z106,7,FALSE),4),0) - IF(ISNUMBER(VLOOKUP("8.3",A4:Z106,7,FALSE)),ROUND(VLOOKUP("8.3",A4:Z106,7,FALSE),4),0) &lt;= 0, "Tak", "Nie")</f>
        <v>Tak</v>
      </c>
      <c r="H68" s="18" t="str">
        <f>IF(IF(ISNUMBER(VLOOKUP("8.1",A4:Z106,8,FALSE)),ROUND(VLOOKUP("8.1",A4:Z106,8,FALSE),4),0) - IF(ISNUMBER(VLOOKUP("8.3",A4:Z106,8,FALSE)),ROUND(VLOOKUP("8.3",A4:Z106,8,FALSE),4),0) &lt;= 0, "Tak", "Nie")</f>
        <v>Tak</v>
      </c>
      <c r="I68" s="18" t="str">
        <f>IF(IF(ISNUMBER(VLOOKUP("8.1",A4:Z106,9,FALSE)),ROUND(VLOOKUP("8.1",A4:Z106,9,FALSE),4),0) - IF(ISNUMBER(VLOOKUP("8.3",A4:Z106,9,FALSE)),ROUND(VLOOKUP("8.3",A4:Z106,9,FALSE),4),0) &lt;= 0, "Tak", "Nie")</f>
        <v>Tak</v>
      </c>
      <c r="J68" s="18" t="str">
        <f>IF(IF(ISNUMBER(VLOOKUP("8.1",A4:Z106,10,FALSE)),ROUND(VLOOKUP("8.1",A4:Z106,10,FALSE),4),0) - IF(ISNUMBER(VLOOKUP("8.3",A4:Z106,10,FALSE)),ROUND(VLOOKUP("8.3",A4:Z106,10,FALSE),4),0) &lt;= 0, "Tak", "Nie")</f>
        <v>Tak</v>
      </c>
      <c r="K68" s="18" t="str">
        <f>IF(IF(ISNUMBER(VLOOKUP("8.1",A4:Z106,11,FALSE)),ROUND(VLOOKUP("8.1",A4:Z106,11,FALSE),4),0) - IF(ISNUMBER(VLOOKUP("8.3",A4:Z106,11,FALSE)),ROUND(VLOOKUP("8.3",A4:Z106,11,FALSE),4),0) &lt;= 0, "Tak", "Nie")</f>
        <v>Tak</v>
      </c>
      <c r="L68" s="18" t="str">
        <f>IF(IF(ISNUMBER(VLOOKUP("8.1",A4:Z106,12,FALSE)),ROUND(VLOOKUP("8.1",A4:Z106,12,FALSE),4),0) - IF(ISNUMBER(VLOOKUP("8.3",A4:Z106,12,FALSE)),ROUND(VLOOKUP("8.3",A4:Z106,12,FALSE),4),0) &lt;= 0, "Tak", "Nie")</f>
        <v>Tak</v>
      </c>
      <c r="M68" s="18" t="str">
        <f>IF(IF(ISNUMBER(VLOOKUP("8.1",A4:Z106,13,FALSE)),ROUND(VLOOKUP("8.1",A4:Z106,13,FALSE),4),0) - IF(ISNUMBER(VLOOKUP("8.3",A4:Z106,13,FALSE)),ROUND(VLOOKUP("8.3",A4:Z106,13,FALSE),4),0) &lt;= 0, "Tak", "Nie")</f>
        <v>Tak</v>
      </c>
      <c r="N68" s="18" t="str">
        <f>IF(IF(ISNUMBER(VLOOKUP("8.1",A4:Z106,14,FALSE)),ROUND(VLOOKUP("8.1",A4:Z106,14,FALSE),4),0) - IF(ISNUMBER(VLOOKUP("8.3",A4:Z106,14,FALSE)),ROUND(VLOOKUP("8.3",A4:Z106,14,FALSE),4),0) &lt;= 0, "Tak", "Nie")</f>
        <v>Tak</v>
      </c>
      <c r="O68" s="18" t="str">
        <f>IF(IF(ISNUMBER(VLOOKUP("8.1",A4:Z106,15,FALSE)),ROUND(VLOOKUP("8.1",A4:Z106,15,FALSE),4),0) - IF(ISNUMBER(VLOOKUP("8.3",A4:Z106,15,FALSE)),ROUND(VLOOKUP("8.3",A4:Z106,15,FALSE),4),0) &lt;= 0, "Tak", "Nie")</f>
        <v>Tak</v>
      </c>
      <c r="P68" s="18" t="str">
        <f>IF(IF(ISNUMBER(VLOOKUP("8.1",A4:Z106,16,FALSE)),ROUND(VLOOKUP("8.1",A4:Z106,16,FALSE),4),0) - IF(ISNUMBER(VLOOKUP("8.3",A4:Z106,16,FALSE)),ROUND(VLOOKUP("8.3",A4:Z106,16,FALSE),4),0) &lt;= 0, "Tak", "Nie")</f>
        <v>Tak</v>
      </c>
      <c r="Q68" s="18" t="str">
        <f>IF(IF(ISNUMBER(VLOOKUP("8.1",A4:Z106,17,FALSE)),ROUND(VLOOKUP("8.1",A4:Z106,17,FALSE),4),0) - IF(ISNUMBER(VLOOKUP("8.3",A4:Z106,17,FALSE)),ROUND(VLOOKUP("8.3",A4:Z106,17,FALSE),4),0) &lt;= 0, "Tak", "Nie")</f>
        <v>Tak</v>
      </c>
      <c r="R68" s="18" t="str">
        <f>IF(IF(ISNUMBER(VLOOKUP("8.1",A4:Z106,18,FALSE)),ROUND(VLOOKUP("8.1",A4:Z106,18,FALSE),4),0) - IF(ISNUMBER(VLOOKUP("8.3",A4:Z106,18,FALSE)),ROUND(VLOOKUP("8.3",A4:Z106,18,FALSE),4),0) &lt;= 0, "Tak", "Nie")</f>
        <v>Tak</v>
      </c>
      <c r="S68" s="18" t="str">
        <f>IF(IF(ISNUMBER(VLOOKUP("8.1",A4:Z106,19,FALSE)),ROUND(VLOOKUP("8.1",A4:Z106,19,FALSE),4),0) - IF(ISNUMBER(VLOOKUP("8.3",A4:Z106,19,FALSE)),ROUND(VLOOKUP("8.3",A4:Z106,19,FALSE),4),0) &lt;= 0, "Tak", "Nie")</f>
        <v>Tak</v>
      </c>
      <c r="T68" s="18" t="str">
        <f>IF(IF(ISNUMBER(VLOOKUP("8.1",A4:Z106,20,FALSE)),ROUND(VLOOKUP("8.1",A4:Z106,20,FALSE),4),0) - IF(ISNUMBER(VLOOKUP("8.3",A4:Z106,20,FALSE)),ROUND(VLOOKUP("8.3",A4:Z106,20,FALSE),4),0) &lt;= 0, "Tak", "Nie")</f>
        <v>Tak</v>
      </c>
      <c r="U68" s="18" t="str">
        <f>IF(IF(ISNUMBER(VLOOKUP("8.1",A4:Z106,21,FALSE)),ROUND(VLOOKUP("8.1",A4:Z106,21,FALSE),4),0) - IF(ISNUMBER(VLOOKUP("8.3",A4:Z106,21,FALSE)),ROUND(VLOOKUP("8.3",A4:Z106,21,FALSE),4),0) &lt;= 0, "Tak", "Nie")</f>
        <v>Tak</v>
      </c>
      <c r="V68" s="18" t="str">
        <f>IF(IF(ISNUMBER(VLOOKUP("8.1",A4:Z106,22,FALSE)),ROUND(VLOOKUP("8.1",A4:Z106,22,FALSE),4),0) - IF(ISNUMBER(VLOOKUP("8.3",A4:Z106,22,FALSE)),ROUND(VLOOKUP("8.3",A4:Z106,22,FALSE),4),0) &lt;= 0, "Tak", "Nie")</f>
        <v>Tak</v>
      </c>
      <c r="W68" s="18" t="str">
        <f>IF(IF(ISNUMBER(VLOOKUP("8.1",A4:Z106,23,FALSE)),ROUND(VLOOKUP("8.1",A4:Z106,23,FALSE),4),0) - IF(ISNUMBER(VLOOKUP("8.3",A4:Z106,23,FALSE)),ROUND(VLOOKUP("8.3",A4:Z106,23,FALSE),4),0) &lt;= 0, "Tak", "Nie")</f>
        <v>Tak</v>
      </c>
      <c r="X68" s="18" t="str">
        <f>IF(IF(ISNUMBER(VLOOKUP("8.1",A4:Z106,24,FALSE)),ROUND(VLOOKUP("8.1",A4:Z106,24,FALSE),4),0) - IF(ISNUMBER(VLOOKUP("8.3",A4:Z106,24,FALSE)),ROUND(VLOOKUP("8.3",A4:Z106,24,FALSE),4),0) &lt;= 0, "Tak", "Nie")</f>
        <v>Tak</v>
      </c>
      <c r="Y68" s="18" t="str">
        <f>IF(IF(ISNUMBER(VLOOKUP("8.1",A4:Z106,25,FALSE)),ROUND(VLOOKUP("8.1",A4:Z106,25,FALSE),4),0) - IF(ISNUMBER(VLOOKUP("8.3",A4:Z106,25,FALSE)),ROUND(VLOOKUP("8.3",A4:Z106,25,FALSE),4),0) &lt;= 0, "Tak", "Nie")</f>
        <v>Tak</v>
      </c>
      <c r="Z68" s="18" t="str">
        <f>IF(IF(ISNUMBER(VLOOKUP("8.1",A4:Z106,26,FALSE)),ROUND(VLOOKUP("8.1",A4:Z106,26,FALSE),4),0) - IF(ISNUMBER(VLOOKUP("8.3",A4:Z106,26,FALSE)),ROUND(VLOOKUP("8.3",A4:Z106,26,FALSE),4),0) &lt;= 0, "Tak", "Nie")</f>
        <v>Tak</v>
      </c>
    </row>
    <row r="69" spans="1:26" ht="78.599999999999994" customHeight="1" x14ac:dyDescent="0.3">
      <c r="A69" s="6" t="s">
        <v>150</v>
      </c>
      <c r="B69" s="7" t="s">
        <v>151</v>
      </c>
      <c r="C69" s="19" t="str">
        <f>IF(IF(ISNUMBER(VLOOKUP("8.1",A4:Z106,3,FALSE)),ROUND(VLOOKUP("8.1",A4:Z106,3,FALSE),4),0) - IF(ISNUMBER(VLOOKUP("8.3.1",A4:Z106,3,FALSE)),ROUND(VLOOKUP("8.3.1",A4:Z106,3,FALSE),4),0) &lt;= 0, "Tak", "Nie")</f>
        <v>Tak</v>
      </c>
      <c r="D69" s="19" t="str">
        <f>IF(IF(ISNUMBER(VLOOKUP("8.1",A4:Z106,4,FALSE)),ROUND(VLOOKUP("8.1",A4:Z106,4,FALSE),4),0) - IF(ISNUMBER(VLOOKUP("8.3.1",A4:Z106,4,FALSE)),ROUND(VLOOKUP("8.3.1",A4:Z106,4,FALSE),4),0) &lt;= 0, "Tak", "Nie")</f>
        <v>Tak</v>
      </c>
      <c r="E69" s="19" t="str">
        <f>IF(IF(ISNUMBER(VLOOKUP("8.1",A4:Z106,5,FALSE)),ROUND(VLOOKUP("8.1",A4:Z106,5,FALSE),4),0) - IF(ISNUMBER(VLOOKUP("8.3.1",A4:Z106,5,FALSE)),ROUND(VLOOKUP("8.3.1",A4:Z106,5,FALSE),4),0) &lt;= 0, "Tak", "Nie")</f>
        <v>Tak</v>
      </c>
      <c r="F69" s="19" t="str">
        <f>IF(IF(ISNUMBER(VLOOKUP("8.1",A4:Z106,6,FALSE)),ROUND(VLOOKUP("8.1",A4:Z106,6,FALSE),4),0) - IF(ISNUMBER(VLOOKUP("8.3.1",A4:Z106,6,FALSE)),ROUND(VLOOKUP("8.3.1",A4:Z106,6,FALSE),4),0) &lt;= 0, "Tak", "Nie")</f>
        <v>Tak</v>
      </c>
      <c r="G69" s="19" t="str">
        <f>IF(IF(ISNUMBER(VLOOKUP("8.1",A4:Z106,7,FALSE)),ROUND(VLOOKUP("8.1",A4:Z106,7,FALSE),4),0) - IF(ISNUMBER(VLOOKUP("8.3.1",A4:Z106,7,FALSE)),ROUND(VLOOKUP("8.3.1",A4:Z106,7,FALSE),4),0) &lt;= 0, "Tak", "Nie")</f>
        <v>Tak</v>
      </c>
      <c r="H69" s="19" t="str">
        <f>IF(IF(ISNUMBER(VLOOKUP("8.1",A4:Z106,8,FALSE)),ROUND(VLOOKUP("8.1",A4:Z106,8,FALSE),4),0) - IF(ISNUMBER(VLOOKUP("8.3.1",A4:Z106,8,FALSE)),ROUND(VLOOKUP("8.3.1",A4:Z106,8,FALSE),4),0) &lt;= 0, "Tak", "Nie")</f>
        <v>Tak</v>
      </c>
      <c r="I69" s="19" t="str">
        <f>IF(IF(ISNUMBER(VLOOKUP("8.1",A4:Z106,9,FALSE)),ROUND(VLOOKUP("8.1",A4:Z106,9,FALSE),4),0) - IF(ISNUMBER(VLOOKUP("8.3.1",A4:Z106,9,FALSE)),ROUND(VLOOKUP("8.3.1",A4:Z106,9,FALSE),4),0) &lt;= 0, "Tak", "Nie")</f>
        <v>Tak</v>
      </c>
      <c r="J69" s="19" t="str">
        <f>IF(IF(ISNUMBER(VLOOKUP("8.1",A4:Z106,10,FALSE)),ROUND(VLOOKUP("8.1",A4:Z106,10,FALSE),4),0) - IF(ISNUMBER(VLOOKUP("8.3.1",A4:Z106,10,FALSE)),ROUND(VLOOKUP("8.3.1",A4:Z106,10,FALSE),4),0) &lt;= 0, "Tak", "Nie")</f>
        <v>Tak</v>
      </c>
      <c r="K69" s="19" t="str">
        <f>IF(IF(ISNUMBER(VLOOKUP("8.1",A4:Z106,11,FALSE)),ROUND(VLOOKUP("8.1",A4:Z106,11,FALSE),4),0) - IF(ISNUMBER(VLOOKUP("8.3.1",A4:Z106,11,FALSE)),ROUND(VLOOKUP("8.3.1",A4:Z106,11,FALSE),4),0) &lt;= 0, "Tak", "Nie")</f>
        <v>Tak</v>
      </c>
      <c r="L69" s="19" t="str">
        <f>IF(IF(ISNUMBER(VLOOKUP("8.1",A4:Z106,12,FALSE)),ROUND(VLOOKUP("8.1",A4:Z106,12,FALSE),4),0) - IF(ISNUMBER(VLOOKUP("8.3.1",A4:Z106,12,FALSE)),ROUND(VLOOKUP("8.3.1",A4:Z106,12,FALSE),4),0) &lt;= 0, "Tak", "Nie")</f>
        <v>Tak</v>
      </c>
      <c r="M69" s="19" t="str">
        <f>IF(IF(ISNUMBER(VLOOKUP("8.1",A4:Z106,13,FALSE)),ROUND(VLOOKUP("8.1",A4:Z106,13,FALSE),4),0) - IF(ISNUMBER(VLOOKUP("8.3.1",A4:Z106,13,FALSE)),ROUND(VLOOKUP("8.3.1",A4:Z106,13,FALSE),4),0) &lt;= 0, "Tak", "Nie")</f>
        <v>Tak</v>
      </c>
      <c r="N69" s="19" t="str">
        <f>IF(IF(ISNUMBER(VLOOKUP("8.1",A4:Z106,14,FALSE)),ROUND(VLOOKUP("8.1",A4:Z106,14,FALSE),4),0) - IF(ISNUMBER(VLOOKUP("8.3.1",A4:Z106,14,FALSE)),ROUND(VLOOKUP("8.3.1",A4:Z106,14,FALSE),4),0) &lt;= 0, "Tak", "Nie")</f>
        <v>Tak</v>
      </c>
      <c r="O69" s="19" t="str">
        <f>IF(IF(ISNUMBER(VLOOKUP("8.1",A4:Z106,15,FALSE)),ROUND(VLOOKUP("8.1",A4:Z106,15,FALSE),4),0) - IF(ISNUMBER(VLOOKUP("8.3.1",A4:Z106,15,FALSE)),ROUND(VLOOKUP("8.3.1",A4:Z106,15,FALSE),4),0) &lt;= 0, "Tak", "Nie")</f>
        <v>Tak</v>
      </c>
      <c r="P69" s="19" t="str">
        <f>IF(IF(ISNUMBER(VLOOKUP("8.1",A4:Z106,16,FALSE)),ROUND(VLOOKUP("8.1",A4:Z106,16,FALSE),4),0) - IF(ISNUMBER(VLOOKUP("8.3.1",A4:Z106,16,FALSE)),ROUND(VLOOKUP("8.3.1",A4:Z106,16,FALSE),4),0) &lt;= 0, "Tak", "Nie")</f>
        <v>Tak</v>
      </c>
      <c r="Q69" s="19" t="str">
        <f>IF(IF(ISNUMBER(VLOOKUP("8.1",A4:Z106,17,FALSE)),ROUND(VLOOKUP("8.1",A4:Z106,17,FALSE),4),0) - IF(ISNUMBER(VLOOKUP("8.3.1",A4:Z106,17,FALSE)),ROUND(VLOOKUP("8.3.1",A4:Z106,17,FALSE),4),0) &lt;= 0, "Tak", "Nie")</f>
        <v>Tak</v>
      </c>
      <c r="R69" s="19" t="str">
        <f>IF(IF(ISNUMBER(VLOOKUP("8.1",A4:Z106,18,FALSE)),ROUND(VLOOKUP("8.1",A4:Z106,18,FALSE),4),0) - IF(ISNUMBER(VLOOKUP("8.3.1",A4:Z106,18,FALSE)),ROUND(VLOOKUP("8.3.1",A4:Z106,18,FALSE),4),0) &lt;= 0, "Tak", "Nie")</f>
        <v>Tak</v>
      </c>
      <c r="S69" s="19" t="str">
        <f>IF(IF(ISNUMBER(VLOOKUP("8.1",A4:Z106,19,FALSE)),ROUND(VLOOKUP("8.1",A4:Z106,19,FALSE),4),0) - IF(ISNUMBER(VLOOKUP("8.3.1",A4:Z106,19,FALSE)),ROUND(VLOOKUP("8.3.1",A4:Z106,19,FALSE),4),0) &lt;= 0, "Tak", "Nie")</f>
        <v>Tak</v>
      </c>
      <c r="T69" s="19" t="str">
        <f>IF(IF(ISNUMBER(VLOOKUP("8.1",A4:Z106,20,FALSE)),ROUND(VLOOKUP("8.1",A4:Z106,20,FALSE),4),0) - IF(ISNUMBER(VLOOKUP("8.3.1",A4:Z106,20,FALSE)),ROUND(VLOOKUP("8.3.1",A4:Z106,20,FALSE),4),0) &lt;= 0, "Tak", "Nie")</f>
        <v>Tak</v>
      </c>
      <c r="U69" s="19" t="str">
        <f>IF(IF(ISNUMBER(VLOOKUP("8.1",A4:Z106,21,FALSE)),ROUND(VLOOKUP("8.1",A4:Z106,21,FALSE),4),0) - IF(ISNUMBER(VLOOKUP("8.3.1",A4:Z106,21,FALSE)),ROUND(VLOOKUP("8.3.1",A4:Z106,21,FALSE),4),0) &lt;= 0, "Tak", "Nie")</f>
        <v>Tak</v>
      </c>
      <c r="V69" s="19" t="str">
        <f>IF(IF(ISNUMBER(VLOOKUP("8.1",A4:Z106,22,FALSE)),ROUND(VLOOKUP("8.1",A4:Z106,22,FALSE),4),0) - IF(ISNUMBER(VLOOKUP("8.3.1",A4:Z106,22,FALSE)),ROUND(VLOOKUP("8.3.1",A4:Z106,22,FALSE),4),0) &lt;= 0, "Tak", "Nie")</f>
        <v>Tak</v>
      </c>
      <c r="W69" s="19" t="str">
        <f>IF(IF(ISNUMBER(VLOOKUP("8.1",A4:Z106,23,FALSE)),ROUND(VLOOKUP("8.1",A4:Z106,23,FALSE),4),0) - IF(ISNUMBER(VLOOKUP("8.3.1",A4:Z106,23,FALSE)),ROUND(VLOOKUP("8.3.1",A4:Z106,23,FALSE),4),0) &lt;= 0, "Tak", "Nie")</f>
        <v>Tak</v>
      </c>
      <c r="X69" s="19" t="str">
        <f>IF(IF(ISNUMBER(VLOOKUP("8.1",A4:Z106,24,FALSE)),ROUND(VLOOKUP("8.1",A4:Z106,24,FALSE),4),0) - IF(ISNUMBER(VLOOKUP("8.3.1",A4:Z106,24,FALSE)),ROUND(VLOOKUP("8.3.1",A4:Z106,24,FALSE),4),0) &lt;= 0, "Tak", "Nie")</f>
        <v>Tak</v>
      </c>
      <c r="Y69" s="19" t="str">
        <f>IF(IF(ISNUMBER(VLOOKUP("8.1",A4:Z106,25,FALSE)),ROUND(VLOOKUP("8.1",A4:Z106,25,FALSE),4),0) - IF(ISNUMBER(VLOOKUP("8.3.1",A4:Z106,25,FALSE)),ROUND(VLOOKUP("8.3.1",A4:Z106,25,FALSE),4),0) &lt;= 0, "Tak", "Nie")</f>
        <v>Tak</v>
      </c>
      <c r="Z69" s="19" t="str">
        <f>IF(IF(ISNUMBER(VLOOKUP("8.1",A4:Z106,26,FALSE)),ROUND(VLOOKUP("8.1",A4:Z106,26,FALSE),4),0) - IF(ISNUMBER(VLOOKUP("8.3.1",A4:Z106,26,FALSE)),ROUND(VLOOKUP("8.3.1",A4:Z106,26,FALSE),4),0) &lt;= 0, "Tak", "Nie")</f>
        <v>Tak</v>
      </c>
    </row>
    <row r="70" spans="1:26" ht="40.799999999999997" hidden="1" x14ac:dyDescent="0.3">
      <c r="A70" s="14" t="s">
        <v>152</v>
      </c>
      <c r="B70" s="15" t="s">
        <v>153</v>
      </c>
      <c r="C70" s="16"/>
      <c r="D70" s="16"/>
      <c r="E70" s="16"/>
      <c r="F70" s="16"/>
      <c r="G70" s="16"/>
      <c r="H70" s="16"/>
      <c r="I70" s="16"/>
      <c r="J70" s="16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39.9" customHeight="1" x14ac:dyDescent="0.3">
      <c r="A71" s="2" t="s">
        <v>154</v>
      </c>
      <c r="B71" s="3" t="s">
        <v>155</v>
      </c>
      <c r="C71" s="25" t="s">
        <v>129</v>
      </c>
      <c r="D71" s="25" t="s">
        <v>129</v>
      </c>
      <c r="E71" s="25" t="s">
        <v>129</v>
      </c>
      <c r="F71" s="25" t="s">
        <v>129</v>
      </c>
      <c r="G71" s="25" t="s">
        <v>129</v>
      </c>
      <c r="H71" s="25" t="s">
        <v>129</v>
      </c>
      <c r="I71" s="25" t="s">
        <v>129</v>
      </c>
      <c r="J71" s="25" t="s">
        <v>129</v>
      </c>
      <c r="K71" s="26" t="s">
        <v>129</v>
      </c>
      <c r="L71" s="26" t="s">
        <v>129</v>
      </c>
      <c r="M71" s="26" t="s">
        <v>129</v>
      </c>
      <c r="N71" s="26" t="s">
        <v>129</v>
      </c>
      <c r="O71" s="26" t="s">
        <v>129</v>
      </c>
      <c r="P71" s="26" t="s">
        <v>129</v>
      </c>
      <c r="Q71" s="26" t="s">
        <v>129</v>
      </c>
      <c r="R71" s="26" t="s">
        <v>129</v>
      </c>
      <c r="S71" s="26" t="s">
        <v>129</v>
      </c>
      <c r="T71" s="26" t="s">
        <v>129</v>
      </c>
      <c r="U71" s="26" t="s">
        <v>129</v>
      </c>
      <c r="V71" s="26" t="s">
        <v>129</v>
      </c>
      <c r="W71" s="26" t="s">
        <v>129</v>
      </c>
      <c r="X71" s="26" t="s">
        <v>129</v>
      </c>
      <c r="Y71" s="26" t="s">
        <v>129</v>
      </c>
      <c r="Z71" s="26" t="s">
        <v>129</v>
      </c>
    </row>
    <row r="72" spans="1:26" ht="39.9" customHeight="1" x14ac:dyDescent="0.3">
      <c r="A72" s="6" t="s">
        <v>156</v>
      </c>
      <c r="B72" s="7" t="s">
        <v>157</v>
      </c>
      <c r="C72" s="8">
        <v>862654.61</v>
      </c>
      <c r="D72" s="8">
        <v>1699024.33</v>
      </c>
      <c r="E72" s="8">
        <v>557908.55000000005</v>
      </c>
      <c r="F72" s="8">
        <v>304074.75</v>
      </c>
      <c r="G72" s="8">
        <v>528595.02</v>
      </c>
      <c r="H72" s="8">
        <v>172495.85</v>
      </c>
      <c r="I72" s="8">
        <v>860971.86</v>
      </c>
      <c r="J72" s="8">
        <v>307595.92</v>
      </c>
      <c r="K72" s="9">
        <v>1566443.89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</row>
    <row r="73" spans="1:26" ht="52.95" customHeight="1" x14ac:dyDescent="0.3">
      <c r="A73" s="6" t="s">
        <v>158</v>
      </c>
      <c r="B73" s="7" t="s">
        <v>159</v>
      </c>
      <c r="C73" s="8">
        <v>862654.61</v>
      </c>
      <c r="D73" s="8">
        <v>1699024.33</v>
      </c>
      <c r="E73" s="8">
        <v>557908.55000000005</v>
      </c>
      <c r="F73" s="8">
        <v>304074.75</v>
      </c>
      <c r="G73" s="8">
        <v>528595.02</v>
      </c>
      <c r="H73" s="8">
        <v>172495.85</v>
      </c>
      <c r="I73" s="8">
        <v>860971.86</v>
      </c>
      <c r="J73" s="8">
        <v>307595.92</v>
      </c>
      <c r="K73" s="9">
        <v>1566443.89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</row>
    <row r="74" spans="1:26" ht="14.25" customHeight="1" x14ac:dyDescent="0.3">
      <c r="A74" s="6" t="s">
        <v>160</v>
      </c>
      <c r="B74" s="7" t="s">
        <v>161</v>
      </c>
      <c r="C74" s="8">
        <v>0</v>
      </c>
      <c r="D74" s="8">
        <v>1553123.68</v>
      </c>
      <c r="E74" s="8">
        <v>519725.96</v>
      </c>
      <c r="F74" s="8">
        <v>284830.99</v>
      </c>
      <c r="G74" s="8">
        <v>528595.02</v>
      </c>
      <c r="H74" s="8">
        <v>172495.85</v>
      </c>
      <c r="I74" s="8">
        <v>757775.21</v>
      </c>
      <c r="J74" s="8">
        <v>277664.34999999998</v>
      </c>
      <c r="K74" s="9">
        <v>1373741.7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</row>
    <row r="75" spans="1:26" ht="39.9" customHeight="1" x14ac:dyDescent="0.3">
      <c r="A75" s="6" t="s">
        <v>162</v>
      </c>
      <c r="B75" s="7" t="s">
        <v>163</v>
      </c>
      <c r="C75" s="8">
        <v>0</v>
      </c>
      <c r="D75" s="8">
        <v>2992184.38</v>
      </c>
      <c r="E75" s="8">
        <v>1856194.74</v>
      </c>
      <c r="F75" s="8">
        <v>1586431.4</v>
      </c>
      <c r="G75" s="8">
        <v>1752370.03</v>
      </c>
      <c r="H75" s="8">
        <v>265773.87</v>
      </c>
      <c r="I75" s="8">
        <v>10745116.17</v>
      </c>
      <c r="J75" s="8">
        <v>3229901.18</v>
      </c>
      <c r="K75" s="9">
        <v>26723179.440000001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</row>
    <row r="76" spans="1:26" ht="39.9" customHeight="1" x14ac:dyDescent="0.3">
      <c r="A76" s="6" t="s">
        <v>164</v>
      </c>
      <c r="B76" s="7" t="s">
        <v>165</v>
      </c>
      <c r="C76" s="8">
        <v>0</v>
      </c>
      <c r="D76" s="8">
        <v>2992184.38</v>
      </c>
      <c r="E76" s="8">
        <v>1856194.74</v>
      </c>
      <c r="F76" s="8">
        <v>1586431.4</v>
      </c>
      <c r="G76" s="8">
        <v>1752370.03</v>
      </c>
      <c r="H76" s="8">
        <v>265773.87</v>
      </c>
      <c r="I76" s="8">
        <v>10745116.17</v>
      </c>
      <c r="J76" s="8">
        <v>3229901.18</v>
      </c>
      <c r="K76" s="9">
        <v>26723179.440000001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</row>
    <row r="77" spans="1:26" ht="14.25" customHeight="1" x14ac:dyDescent="0.3">
      <c r="A77" s="6" t="s">
        <v>166</v>
      </c>
      <c r="B77" s="7" t="s">
        <v>161</v>
      </c>
      <c r="C77" s="8">
        <v>0</v>
      </c>
      <c r="D77" s="8">
        <v>2992184.38</v>
      </c>
      <c r="E77" s="8">
        <v>1856194.74</v>
      </c>
      <c r="F77" s="8">
        <v>1586431.4</v>
      </c>
      <c r="G77" s="8">
        <v>1752370.03</v>
      </c>
      <c r="H77" s="8">
        <v>265773.87</v>
      </c>
      <c r="I77" s="8">
        <v>9978096.6400000006</v>
      </c>
      <c r="J77" s="8">
        <v>3117358.37</v>
      </c>
      <c r="K77" s="9">
        <v>23175067.379999999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</row>
    <row r="78" spans="1:26" ht="39.9" customHeight="1" x14ac:dyDescent="0.3">
      <c r="A78" s="6" t="s">
        <v>167</v>
      </c>
      <c r="B78" s="7" t="s">
        <v>168</v>
      </c>
      <c r="C78" s="8">
        <v>956642.54</v>
      </c>
      <c r="D78" s="8">
        <v>1005007.97</v>
      </c>
      <c r="E78" s="8">
        <v>1247402.6000000001</v>
      </c>
      <c r="F78" s="8">
        <v>527521.56999999995</v>
      </c>
      <c r="G78" s="8">
        <v>518488.39</v>
      </c>
      <c r="H78" s="8">
        <v>300205.08</v>
      </c>
      <c r="I78" s="8">
        <v>1071828.1000000001</v>
      </c>
      <c r="J78" s="8">
        <v>318996.09999999998</v>
      </c>
      <c r="K78" s="9">
        <v>1891044.35</v>
      </c>
      <c r="L78" s="9">
        <v>224471.43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</row>
    <row r="79" spans="1:26" ht="39.9" customHeight="1" x14ac:dyDescent="0.3">
      <c r="A79" s="6" t="s">
        <v>169</v>
      </c>
      <c r="B79" s="7" t="s">
        <v>170</v>
      </c>
      <c r="C79" s="8">
        <v>956642.54</v>
      </c>
      <c r="D79" s="8">
        <v>1005007.97</v>
      </c>
      <c r="E79" s="8">
        <v>1247402.6000000001</v>
      </c>
      <c r="F79" s="8">
        <v>527521.56999999995</v>
      </c>
      <c r="G79" s="8">
        <v>518488.39</v>
      </c>
      <c r="H79" s="8">
        <v>300205.08</v>
      </c>
      <c r="I79" s="8">
        <v>1071828.1000000001</v>
      </c>
      <c r="J79" s="8">
        <v>318996.09999999998</v>
      </c>
      <c r="K79" s="9">
        <v>1891044.35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</row>
    <row r="80" spans="1:26" ht="27" customHeight="1" x14ac:dyDescent="0.3">
      <c r="A80" s="6" t="s">
        <v>171</v>
      </c>
      <c r="B80" s="7" t="s">
        <v>172</v>
      </c>
      <c r="C80" s="8">
        <v>0</v>
      </c>
      <c r="D80" s="8">
        <v>862134.99</v>
      </c>
      <c r="E80" s="8">
        <v>1082281.6499999999</v>
      </c>
      <c r="F80" s="8">
        <v>389830.7</v>
      </c>
      <c r="G80" s="8">
        <v>426608.37</v>
      </c>
      <c r="H80" s="8">
        <v>222976.94</v>
      </c>
      <c r="I80" s="8">
        <v>750275.21</v>
      </c>
      <c r="J80" s="8">
        <v>178708.01</v>
      </c>
      <c r="K80" s="9">
        <v>1378129.09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</row>
    <row r="81" spans="1:26" ht="39.9" customHeight="1" x14ac:dyDescent="0.3">
      <c r="A81" s="6" t="s">
        <v>173</v>
      </c>
      <c r="B81" s="7" t="s">
        <v>174</v>
      </c>
      <c r="C81" s="8">
        <v>0</v>
      </c>
      <c r="D81" s="8">
        <v>3820744.07</v>
      </c>
      <c r="E81" s="8">
        <v>1676052.84</v>
      </c>
      <c r="F81" s="8">
        <v>3736705.03</v>
      </c>
      <c r="G81" s="8">
        <v>1131262.6499999999</v>
      </c>
      <c r="H81" s="8">
        <v>1147568.82</v>
      </c>
      <c r="I81" s="8">
        <v>14510114.5</v>
      </c>
      <c r="J81" s="8">
        <v>3800721.73</v>
      </c>
      <c r="K81" s="9">
        <v>33227094.149999999</v>
      </c>
      <c r="L81" s="9">
        <v>26232415</v>
      </c>
      <c r="M81" s="9">
        <v>11139485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</row>
    <row r="82" spans="1:26" ht="39.9" customHeight="1" x14ac:dyDescent="0.3">
      <c r="A82" s="6" t="s">
        <v>175</v>
      </c>
      <c r="B82" s="7" t="s">
        <v>176</v>
      </c>
      <c r="C82" s="8">
        <v>0</v>
      </c>
      <c r="D82" s="8">
        <v>3820744.07</v>
      </c>
      <c r="E82" s="8">
        <v>1676052.84</v>
      </c>
      <c r="F82" s="8">
        <v>3736705.03</v>
      </c>
      <c r="G82" s="8">
        <v>1131262.6499999999</v>
      </c>
      <c r="H82" s="8">
        <v>1147568.82</v>
      </c>
      <c r="I82" s="8">
        <v>14510114.5</v>
      </c>
      <c r="J82" s="8">
        <v>3800721.73</v>
      </c>
      <c r="K82" s="9">
        <v>33227094.149999999</v>
      </c>
      <c r="L82" s="9">
        <v>20744382</v>
      </c>
      <c r="M82" s="9">
        <v>11139485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</row>
    <row r="83" spans="1:26" ht="27" customHeight="1" x14ac:dyDescent="0.3">
      <c r="A83" s="6" t="s">
        <v>177</v>
      </c>
      <c r="B83" s="7" t="s">
        <v>172</v>
      </c>
      <c r="C83" s="8">
        <v>0</v>
      </c>
      <c r="D83" s="8">
        <v>2266184.36</v>
      </c>
      <c r="E83" s="8">
        <v>749360.4</v>
      </c>
      <c r="F83" s="8">
        <v>1994712.87</v>
      </c>
      <c r="G83" s="8">
        <v>1066341.48</v>
      </c>
      <c r="H83" s="8">
        <v>841445.18</v>
      </c>
      <c r="I83" s="8">
        <v>9617488.1099999994</v>
      </c>
      <c r="J83" s="8">
        <v>2455525</v>
      </c>
      <c r="K83" s="9">
        <v>23325067.379999999</v>
      </c>
      <c r="L83" s="9">
        <v>20744382</v>
      </c>
      <c r="M83" s="9">
        <v>11139485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</row>
    <row r="84" spans="1:26" ht="27" customHeight="1" x14ac:dyDescent="0.3">
      <c r="A84" s="2" t="s">
        <v>178</v>
      </c>
      <c r="B84" s="3" t="s">
        <v>179</v>
      </c>
      <c r="C84" s="25" t="s">
        <v>129</v>
      </c>
      <c r="D84" s="25" t="s">
        <v>129</v>
      </c>
      <c r="E84" s="25" t="s">
        <v>129</v>
      </c>
      <c r="F84" s="25" t="s">
        <v>129</v>
      </c>
      <c r="G84" s="25" t="s">
        <v>129</v>
      </c>
      <c r="H84" s="25" t="s">
        <v>129</v>
      </c>
      <c r="I84" s="25" t="s">
        <v>129</v>
      </c>
      <c r="J84" s="25" t="s">
        <v>129</v>
      </c>
      <c r="K84" s="26" t="s">
        <v>129</v>
      </c>
      <c r="L84" s="26" t="s">
        <v>129</v>
      </c>
      <c r="M84" s="26" t="s">
        <v>129</v>
      </c>
      <c r="N84" s="26" t="s">
        <v>129</v>
      </c>
      <c r="O84" s="26" t="s">
        <v>129</v>
      </c>
      <c r="P84" s="26" t="s">
        <v>129</v>
      </c>
      <c r="Q84" s="26" t="s">
        <v>129</v>
      </c>
      <c r="R84" s="26" t="s">
        <v>129</v>
      </c>
      <c r="S84" s="26" t="s">
        <v>129</v>
      </c>
      <c r="T84" s="26" t="s">
        <v>129</v>
      </c>
      <c r="U84" s="26" t="s">
        <v>129</v>
      </c>
      <c r="V84" s="26" t="s">
        <v>129</v>
      </c>
      <c r="W84" s="26" t="s">
        <v>129</v>
      </c>
      <c r="X84" s="26" t="s">
        <v>129</v>
      </c>
      <c r="Y84" s="26" t="s">
        <v>129</v>
      </c>
      <c r="Z84" s="26" t="s">
        <v>129</v>
      </c>
    </row>
    <row r="85" spans="1:26" ht="27" customHeight="1" x14ac:dyDescent="0.3">
      <c r="A85" s="6" t="s">
        <v>180</v>
      </c>
      <c r="B85" s="7" t="s">
        <v>181</v>
      </c>
      <c r="C85" s="10">
        <f>IF(ISNUMBER(VLOOKUP("10.1.1",A4:Z106,3,FALSE)),ROUND(VLOOKUP("10.1.1",A4:Z106,3,FALSE),4),0) + IF(ISNUMBER(VLOOKUP("10.1.2",A4:Z106,3,FALSE)),ROUND(VLOOKUP("10.1.2",A4:Z106,3,FALSE),4),0)</f>
        <v>0</v>
      </c>
      <c r="D85" s="10">
        <f>IF(ISNUMBER(VLOOKUP("10.1.1",A4:Z106,4,FALSE)),ROUND(VLOOKUP("10.1.1",A4:Z106,4,FALSE),4),0) + IF(ISNUMBER(VLOOKUP("10.1.2",A4:Z106,4,FALSE)),ROUND(VLOOKUP("10.1.2",A4:Z106,4,FALSE),4),0)</f>
        <v>3930445.26</v>
      </c>
      <c r="E85" s="10">
        <f>IF(ISNUMBER(VLOOKUP("10.1.1",A4:Z106,5,FALSE)),ROUND(VLOOKUP("10.1.1",A4:Z106,5,FALSE),4),0) + IF(ISNUMBER(VLOOKUP("10.1.2",A4:Z106,5,FALSE)),ROUND(VLOOKUP("10.1.2",A4:Z106,5,FALSE),4),0)</f>
        <v>5844351.5999999996</v>
      </c>
      <c r="F85" s="10">
        <f>IF(ISNUMBER(VLOOKUP("10.1.1",A4:Z106,6,FALSE)),ROUND(VLOOKUP("10.1.1",A4:Z106,6,FALSE),4),0) + IF(ISNUMBER(VLOOKUP("10.1.2",A4:Z106,6,FALSE)),ROUND(VLOOKUP("10.1.2",A4:Z106,6,FALSE),4),0)</f>
        <v>21568761.350000001</v>
      </c>
      <c r="G85" s="10">
        <f>IF(ISNUMBER(VLOOKUP("10.1.1",A4:Z106,7,FALSE)),ROUND(VLOOKUP("10.1.1",A4:Z106,7,FALSE),4),0) + IF(ISNUMBER(VLOOKUP("10.1.2",A4:Z106,7,FALSE)),ROUND(VLOOKUP("10.1.2",A4:Z106,7,FALSE),4),0)</f>
        <v>15578389.190000001</v>
      </c>
      <c r="H85" s="10">
        <f>IF(ISNUMBER(VLOOKUP("10.1.1",A4:Z106,8,FALSE)),ROUND(VLOOKUP("10.1.1",A4:Z106,8,FALSE),4),0) + IF(ISNUMBER(VLOOKUP("10.1.2",A4:Z106,8,FALSE)),ROUND(VLOOKUP("10.1.2",A4:Z106,8,FALSE),4),0)</f>
        <v>9283873.6999999993</v>
      </c>
      <c r="I85" s="10">
        <f>IF(ISNUMBER(VLOOKUP("10.1.1",A4:Z106,9,FALSE)),ROUND(VLOOKUP("10.1.1",A4:Z106,9,FALSE),4),0) + IF(ISNUMBER(VLOOKUP("10.1.2",A4:Z106,9,FALSE)),ROUND(VLOOKUP("10.1.2",A4:Z106,9,FALSE),4),0)</f>
        <v>29854300.810000002</v>
      </c>
      <c r="J85" s="10">
        <f>IF(ISNUMBER(VLOOKUP("10.1.1",A4:Z106,10,FALSE)),ROUND(VLOOKUP("10.1.1",A4:Z106,10,FALSE),4),0) + IF(ISNUMBER(VLOOKUP("10.1.2",A4:Z106,10,FALSE)),ROUND(VLOOKUP("10.1.2",A4:Z106,10,FALSE),4),0)</f>
        <v>29854300.810000002</v>
      </c>
      <c r="K85" s="11">
        <f>IF(ISNUMBER(VLOOKUP("10.1.1",A4:Z106,11,FALSE)),ROUND(VLOOKUP("10.1.1",A4:Z106,11,FALSE),4),0) + IF(ISNUMBER(VLOOKUP("10.1.2",A4:Z106,11,FALSE)),ROUND(VLOOKUP("10.1.2",A4:Z106,11,FALSE),4),0)</f>
        <v>19845602.829999998</v>
      </c>
      <c r="L85" s="11">
        <f>IF(ISNUMBER(VLOOKUP("10.1.1",A4:Z106,12,FALSE)),ROUND(VLOOKUP("10.1.1",A4:Z106,12,FALSE),4),0) + IF(ISNUMBER(VLOOKUP("10.1.2",A4:Z106,12,FALSE)),ROUND(VLOOKUP("10.1.2",A4:Z106,12,FALSE),4),0)</f>
        <v>34956886.009999998</v>
      </c>
      <c r="M85" s="11">
        <f>IF(ISNUMBER(VLOOKUP("10.1.1",A4:Z106,13,FALSE)),ROUND(VLOOKUP("10.1.1",A4:Z106,13,FALSE),4),0) + IF(ISNUMBER(VLOOKUP("10.1.2",A4:Z106,13,FALSE)),ROUND(VLOOKUP("10.1.2",A4:Z106,13,FALSE),4),0)</f>
        <v>7390000</v>
      </c>
      <c r="N85" s="11">
        <f>IF(ISNUMBER(VLOOKUP("10.1.1",A4:Z106,14,FALSE)),ROUND(VLOOKUP("10.1.1",A4:Z106,14,FALSE),4),0) + IF(ISNUMBER(VLOOKUP("10.1.2",A4:Z106,14,FALSE)),ROUND(VLOOKUP("10.1.2",A4:Z106,14,FALSE),4),0)</f>
        <v>500000</v>
      </c>
      <c r="O85" s="11">
        <f>IF(ISNUMBER(VLOOKUP("10.1.1",A4:Z106,15,FALSE)),ROUND(VLOOKUP("10.1.1",A4:Z106,15,FALSE),4),0) + IF(ISNUMBER(VLOOKUP("10.1.2",A4:Z106,15,FALSE)),ROUND(VLOOKUP("10.1.2",A4:Z106,15,FALSE),4),0)</f>
        <v>0</v>
      </c>
      <c r="P85" s="11">
        <f>IF(ISNUMBER(VLOOKUP("10.1.1",A4:Z106,16,FALSE)),ROUND(VLOOKUP("10.1.1",A4:Z106,16,FALSE),4),0) + IF(ISNUMBER(VLOOKUP("10.1.2",A4:Z106,16,FALSE)),ROUND(VLOOKUP("10.1.2",A4:Z106,16,FALSE),4),0)</f>
        <v>0</v>
      </c>
      <c r="Q85" s="11">
        <f>IF(ISNUMBER(VLOOKUP("10.1.1",A4:Z106,17,FALSE)),ROUND(VLOOKUP("10.1.1",A4:Z106,17,FALSE),4),0) + IF(ISNUMBER(VLOOKUP("10.1.2",A4:Z106,17,FALSE)),ROUND(VLOOKUP("10.1.2",A4:Z106,17,FALSE),4),0)</f>
        <v>0</v>
      </c>
      <c r="R85" s="11">
        <f>IF(ISNUMBER(VLOOKUP("10.1.1",A4:Z106,18,FALSE)),ROUND(VLOOKUP("10.1.1",A4:Z106,18,FALSE),4),0) + IF(ISNUMBER(VLOOKUP("10.1.2",A4:Z106,18,FALSE)),ROUND(VLOOKUP("10.1.2",A4:Z106,18,FALSE),4),0)</f>
        <v>0</v>
      </c>
      <c r="S85" s="11">
        <f>IF(ISNUMBER(VLOOKUP("10.1.1",A4:Z106,19,FALSE)),ROUND(VLOOKUP("10.1.1",A4:Z106,19,FALSE),4),0) + IF(ISNUMBER(VLOOKUP("10.1.2",A4:Z106,19,FALSE)),ROUND(VLOOKUP("10.1.2",A4:Z106,19,FALSE),4),0)</f>
        <v>0</v>
      </c>
      <c r="T85" s="11">
        <f>IF(ISNUMBER(VLOOKUP("10.1.1",A4:Z106,20,FALSE)),ROUND(VLOOKUP("10.1.1",A4:Z106,20,FALSE),4),0) + IF(ISNUMBER(VLOOKUP("10.1.2",A4:Z106,20,FALSE)),ROUND(VLOOKUP("10.1.2",A4:Z106,20,FALSE),4),0)</f>
        <v>0</v>
      </c>
      <c r="U85" s="11">
        <f>IF(ISNUMBER(VLOOKUP("10.1.1",A4:Z106,21,FALSE)),ROUND(VLOOKUP("10.1.1",A4:Z106,21,FALSE),4),0) + IF(ISNUMBER(VLOOKUP("10.1.2",A4:Z106,21,FALSE)),ROUND(VLOOKUP("10.1.2",A4:Z106,21,FALSE),4),0)</f>
        <v>0</v>
      </c>
      <c r="V85" s="11">
        <f>IF(ISNUMBER(VLOOKUP("10.1.1",A4:Z106,22,FALSE)),ROUND(VLOOKUP("10.1.1",A4:Z106,22,FALSE),4),0) + IF(ISNUMBER(VLOOKUP("10.1.2",A4:Z106,22,FALSE)),ROUND(VLOOKUP("10.1.2",A4:Z106,22,FALSE),4),0)</f>
        <v>0</v>
      </c>
      <c r="W85" s="11">
        <f>IF(ISNUMBER(VLOOKUP("10.1.1",A4:Z106,23,FALSE)),ROUND(VLOOKUP("10.1.1",A4:Z106,23,FALSE),4),0) + IF(ISNUMBER(VLOOKUP("10.1.2",A4:Z106,23,FALSE)),ROUND(VLOOKUP("10.1.2",A4:Z106,23,FALSE),4),0)</f>
        <v>0</v>
      </c>
      <c r="X85" s="11">
        <f>IF(ISNUMBER(VLOOKUP("10.1.1",A4:Z106,24,FALSE)),ROUND(VLOOKUP("10.1.1",A4:Z106,24,FALSE),4),0) + IF(ISNUMBER(VLOOKUP("10.1.2",A4:Z106,24,FALSE)),ROUND(VLOOKUP("10.1.2",A4:Z106,24,FALSE),4),0)</f>
        <v>0</v>
      </c>
      <c r="Y85" s="11">
        <f>IF(ISNUMBER(VLOOKUP("10.1.1",A4:Z106,25,FALSE)),ROUND(VLOOKUP("10.1.1",A4:Z106,25,FALSE),4),0) + IF(ISNUMBER(VLOOKUP("10.1.2",A4:Z106,25,FALSE)),ROUND(VLOOKUP("10.1.2",A4:Z106,25,FALSE),4),0)</f>
        <v>0</v>
      </c>
      <c r="Z85" s="11">
        <f>IF(ISNUMBER(VLOOKUP("10.1.1",A4:Z106,26,FALSE)),ROUND(VLOOKUP("10.1.1",A4:Z106,26,FALSE),4),0) + IF(ISNUMBER(VLOOKUP("10.1.2",A4:Z106,26,FALSE)),ROUND(VLOOKUP("10.1.2",A4:Z106,26,FALSE),4),0)</f>
        <v>0</v>
      </c>
    </row>
    <row r="86" spans="1:26" ht="14.25" customHeight="1" x14ac:dyDescent="0.3">
      <c r="A86" s="6" t="s">
        <v>182</v>
      </c>
      <c r="B86" s="7" t="s">
        <v>183</v>
      </c>
      <c r="C86" s="10">
        <v>0</v>
      </c>
      <c r="D86" s="10">
        <v>400227.26</v>
      </c>
      <c r="E86" s="10">
        <v>1046491.08</v>
      </c>
      <c r="F86" s="10">
        <v>250545.6</v>
      </c>
      <c r="G86" s="10">
        <v>4845060.1100000003</v>
      </c>
      <c r="H86" s="10">
        <v>0</v>
      </c>
      <c r="I86" s="10">
        <v>960369.1</v>
      </c>
      <c r="J86" s="10">
        <v>960369.1</v>
      </c>
      <c r="K86" s="11">
        <v>705475.4</v>
      </c>
      <c r="L86" s="11">
        <v>224471.01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</row>
    <row r="87" spans="1:26" ht="14.25" customHeight="1" x14ac:dyDescent="0.3">
      <c r="A87" s="6" t="s">
        <v>184</v>
      </c>
      <c r="B87" s="7" t="s">
        <v>185</v>
      </c>
      <c r="C87" s="10">
        <v>0</v>
      </c>
      <c r="D87" s="10">
        <v>3530218</v>
      </c>
      <c r="E87" s="10">
        <v>4797860.5199999996</v>
      </c>
      <c r="F87" s="10">
        <v>21318215.75</v>
      </c>
      <c r="G87" s="10">
        <v>10733329.08</v>
      </c>
      <c r="H87" s="10">
        <v>9283873.6999999993</v>
      </c>
      <c r="I87" s="10">
        <v>28893931.710000001</v>
      </c>
      <c r="J87" s="10">
        <v>28893931.710000001</v>
      </c>
      <c r="K87" s="11">
        <v>19140127.43</v>
      </c>
      <c r="L87" s="11">
        <v>34732415</v>
      </c>
      <c r="M87" s="11">
        <v>7390000</v>
      </c>
      <c r="N87" s="11">
        <v>500000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</row>
    <row r="88" spans="1:26" ht="27" customHeight="1" x14ac:dyDescent="0.3">
      <c r="A88" s="6" t="s">
        <v>186</v>
      </c>
      <c r="B88" s="7" t="s">
        <v>187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</row>
    <row r="89" spans="1:26" ht="39.9" customHeight="1" x14ac:dyDescent="0.3">
      <c r="A89" s="6" t="s">
        <v>188</v>
      </c>
      <c r="B89" s="7" t="s">
        <v>189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</row>
    <row r="90" spans="1:26" ht="52.95" customHeight="1" x14ac:dyDescent="0.3">
      <c r="A90" s="6" t="s">
        <v>190</v>
      </c>
      <c r="B90" s="7" t="s">
        <v>191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</row>
    <row r="91" spans="1:26" ht="39.9" customHeight="1" x14ac:dyDescent="0.3">
      <c r="A91" s="6" t="s">
        <v>192</v>
      </c>
      <c r="B91" s="7" t="s">
        <v>193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</row>
    <row r="92" spans="1:26" ht="27" customHeight="1" x14ac:dyDescent="0.3">
      <c r="A92" s="6" t="s">
        <v>194</v>
      </c>
      <c r="B92" s="7" t="s">
        <v>195</v>
      </c>
      <c r="C92" s="10">
        <v>0</v>
      </c>
      <c r="D92" s="10">
        <v>3791580</v>
      </c>
      <c r="E92" s="10">
        <v>3400000</v>
      </c>
      <c r="F92" s="10">
        <v>3800000</v>
      </c>
      <c r="G92" s="10">
        <v>4000000</v>
      </c>
      <c r="H92" s="10">
        <v>4000000</v>
      </c>
      <c r="I92" s="10">
        <v>4000000</v>
      </c>
      <c r="J92" s="10">
        <v>4000000</v>
      </c>
      <c r="K92" s="11">
        <v>4000000</v>
      </c>
      <c r="L92" s="11">
        <v>4221100</v>
      </c>
      <c r="M92" s="11">
        <v>4237285</v>
      </c>
      <c r="N92" s="11">
        <v>3937285</v>
      </c>
      <c r="O92" s="11">
        <v>3500000</v>
      </c>
      <c r="P92" s="11">
        <v>3500000</v>
      </c>
      <c r="Q92" s="11">
        <v>4000000</v>
      </c>
      <c r="R92" s="11">
        <v>4000000</v>
      </c>
      <c r="S92" s="11">
        <v>3500000</v>
      </c>
      <c r="T92" s="11">
        <v>3500000</v>
      </c>
      <c r="U92" s="11">
        <v>8000000</v>
      </c>
      <c r="V92" s="11">
        <v>7000000</v>
      </c>
      <c r="W92" s="11">
        <v>4000000</v>
      </c>
      <c r="X92" s="11">
        <v>7000000</v>
      </c>
      <c r="Y92" s="11">
        <v>6000000</v>
      </c>
      <c r="Z92" s="11">
        <v>3085309.61</v>
      </c>
    </row>
    <row r="93" spans="1:26" ht="14.25" customHeight="1" x14ac:dyDescent="0.3">
      <c r="A93" s="6" t="s">
        <v>196</v>
      </c>
      <c r="B93" s="7" t="s">
        <v>197</v>
      </c>
      <c r="C93" s="10">
        <f>IF(ISNUMBER(VLOOKUP("10.7.1",A4:Z106,3,FALSE)),ROUND(VLOOKUP("10.7.1",A4:Z106,3,FALSE),4),0) + IF(ISNUMBER(VLOOKUP("10.7.2",A4:Z106,3,FALSE)),ROUND(VLOOKUP("10.7.2",A4:Z106,3,FALSE),4),0) + IF(ISNUMBER(VLOOKUP("10.7.3",A4:Z106,3,FALSE)),ROUND(VLOOKUP("10.7.3",A4:Z106,3,FALSE),4),0)</f>
        <v>0</v>
      </c>
      <c r="D93" s="10">
        <f>IF(ISNUMBER(VLOOKUP("10.7.1",A4:Z106,4,FALSE)),ROUND(VLOOKUP("10.7.1",A4:Z106,4,FALSE),4),0) + IF(ISNUMBER(VLOOKUP("10.7.2",A4:Z106,4,FALSE)),ROUND(VLOOKUP("10.7.2",A4:Z106,4,FALSE),4),0) + IF(ISNUMBER(VLOOKUP("10.7.3",A4:Z106,4,FALSE)),ROUND(VLOOKUP("10.7.3",A4:Z106,4,FALSE),4),0)</f>
        <v>0</v>
      </c>
      <c r="E93" s="10">
        <f>IF(ISNUMBER(VLOOKUP("10.7.1",A4:Z106,5,FALSE)),ROUND(VLOOKUP("10.7.1",A4:Z106,5,FALSE),4),0) + IF(ISNUMBER(VLOOKUP("10.7.2",A4:Z106,5,FALSE)),ROUND(VLOOKUP("10.7.2",A4:Z106,5,FALSE),4),0) + IF(ISNUMBER(VLOOKUP("10.7.3",A4:Z106,5,FALSE)),ROUND(VLOOKUP("10.7.3",A4:Z106,5,FALSE),4),0)</f>
        <v>0</v>
      </c>
      <c r="F93" s="10">
        <f>IF(ISNUMBER(VLOOKUP("10.7.1",A4:Z106,6,FALSE)),ROUND(VLOOKUP("10.7.1",A4:Z106,6,FALSE),4),0) + IF(ISNUMBER(VLOOKUP("10.7.2",A4:Z106,6,FALSE)),ROUND(VLOOKUP("10.7.2",A4:Z106,6,FALSE),4),0) + IF(ISNUMBER(VLOOKUP("10.7.3",A4:Z106,6,FALSE)),ROUND(VLOOKUP("10.7.3",A4:Z106,6,FALSE),4),0)</f>
        <v>0</v>
      </c>
      <c r="G93" s="10">
        <f>IF(ISNUMBER(VLOOKUP("10.7.1",A4:Z106,7,FALSE)),ROUND(VLOOKUP("10.7.1",A4:Z106,7,FALSE),4),0) + IF(ISNUMBER(VLOOKUP("10.7.2",A4:Z106,7,FALSE)),ROUND(VLOOKUP("10.7.2",A4:Z106,7,FALSE),4),0) + IF(ISNUMBER(VLOOKUP("10.7.3",A4:Z106,7,FALSE)),ROUND(VLOOKUP("10.7.3",A4:Z106,7,FALSE),4),0)</f>
        <v>0</v>
      </c>
      <c r="H93" s="10">
        <f>IF(ISNUMBER(VLOOKUP("10.7.1",A4:Z106,8,FALSE)),ROUND(VLOOKUP("10.7.1",A4:Z106,8,FALSE),4),0) + IF(ISNUMBER(VLOOKUP("10.7.2",A4:Z106,8,FALSE)),ROUND(VLOOKUP("10.7.2",A4:Z106,8,FALSE),4),0) + IF(ISNUMBER(VLOOKUP("10.7.3",A4:Z106,8,FALSE)),ROUND(VLOOKUP("10.7.3",A4:Z106,8,FALSE),4),0)</f>
        <v>0</v>
      </c>
      <c r="I93" s="10">
        <f>IF(ISNUMBER(VLOOKUP("10.7.1",A4:Z106,9,FALSE)),ROUND(VLOOKUP("10.7.1",A4:Z106,9,FALSE),4),0) + IF(ISNUMBER(VLOOKUP("10.7.2",A4:Z106,9,FALSE)),ROUND(VLOOKUP("10.7.2",A4:Z106,9,FALSE),4),0) + IF(ISNUMBER(VLOOKUP("10.7.3",A4:Z106,9,FALSE)),ROUND(VLOOKUP("10.7.3",A4:Z106,9,FALSE),4),0)</f>
        <v>0</v>
      </c>
      <c r="J93" s="10">
        <f>IF(ISNUMBER(VLOOKUP("10.7.1",A4:Z106,10,FALSE)),ROUND(VLOOKUP("10.7.1",A4:Z106,10,FALSE),4),0) + IF(ISNUMBER(VLOOKUP("10.7.2",A4:Z106,10,FALSE)),ROUND(VLOOKUP("10.7.2",A4:Z106,10,FALSE),4),0) + IF(ISNUMBER(VLOOKUP("10.7.3",A4:Z106,10,FALSE)),ROUND(VLOOKUP("10.7.3",A4:Z106,10,FALSE),4),0)</f>
        <v>0</v>
      </c>
      <c r="K93" s="11">
        <f>IF(ISNUMBER(VLOOKUP("10.7.1",A4:Z106,11,FALSE)),ROUND(VLOOKUP("10.7.1",A4:Z106,11,FALSE),4),0) + IF(ISNUMBER(VLOOKUP("10.7.2",A4:Z106,11,FALSE)),ROUND(VLOOKUP("10.7.2",A4:Z106,11,FALSE),4),0) + IF(ISNUMBER(VLOOKUP("10.7.3",A4:Z106,11,FALSE)),ROUND(VLOOKUP("10.7.3",A4:Z106,11,FALSE),4),0)</f>
        <v>0</v>
      </c>
      <c r="L93" s="11">
        <f>IF(ISNUMBER(VLOOKUP("10.7.1",A4:Z106,12,FALSE)),ROUND(VLOOKUP("10.7.1",A4:Z106,12,FALSE),4),0) + IF(ISNUMBER(VLOOKUP("10.7.2",A4:Z106,12,FALSE)),ROUND(VLOOKUP("10.7.2",A4:Z106,12,FALSE),4),0) + IF(ISNUMBER(VLOOKUP("10.7.3",A4:Z106,12,FALSE)),ROUND(VLOOKUP("10.7.3",A4:Z106,12,FALSE),4),0)</f>
        <v>0</v>
      </c>
      <c r="M93" s="11">
        <f>IF(ISNUMBER(VLOOKUP("10.7.1",A4:Z106,13,FALSE)),ROUND(VLOOKUP("10.7.1",A4:Z106,13,FALSE),4),0) + IF(ISNUMBER(VLOOKUP("10.7.2",A4:Z106,13,FALSE)),ROUND(VLOOKUP("10.7.2",A4:Z106,13,FALSE),4),0) + IF(ISNUMBER(VLOOKUP("10.7.3",A4:Z106,13,FALSE)),ROUND(VLOOKUP("10.7.3",A4:Z106,13,FALSE),4),0)</f>
        <v>0</v>
      </c>
      <c r="N93" s="11">
        <f>IF(ISNUMBER(VLOOKUP("10.7.1",A4:Z106,14,FALSE)),ROUND(VLOOKUP("10.7.1",A4:Z106,14,FALSE),4),0) + IF(ISNUMBER(VLOOKUP("10.7.2",A4:Z106,14,FALSE)),ROUND(VLOOKUP("10.7.2",A4:Z106,14,FALSE),4),0) + IF(ISNUMBER(VLOOKUP("10.7.3",A4:Z106,14,FALSE)),ROUND(VLOOKUP("10.7.3",A4:Z106,14,FALSE),4),0)</f>
        <v>0</v>
      </c>
      <c r="O93" s="11">
        <f>IF(ISNUMBER(VLOOKUP("10.7.1",A4:Z106,15,FALSE)),ROUND(VLOOKUP("10.7.1",A4:Z106,15,FALSE),4),0) + IF(ISNUMBER(VLOOKUP("10.7.2",A4:Z106,15,FALSE)),ROUND(VLOOKUP("10.7.2",A4:Z106,15,FALSE),4),0) + IF(ISNUMBER(VLOOKUP("10.7.3",A4:Z106,15,FALSE)),ROUND(VLOOKUP("10.7.3",A4:Z106,15,FALSE),4),0)</f>
        <v>0</v>
      </c>
      <c r="P93" s="11">
        <f>IF(ISNUMBER(VLOOKUP("10.7.1",A4:Z106,16,FALSE)),ROUND(VLOOKUP("10.7.1",A4:Z106,16,FALSE),4),0) + IF(ISNUMBER(VLOOKUP("10.7.2",A4:Z106,16,FALSE)),ROUND(VLOOKUP("10.7.2",A4:Z106,16,FALSE),4),0) + IF(ISNUMBER(VLOOKUP("10.7.3",A4:Z106,16,FALSE)),ROUND(VLOOKUP("10.7.3",A4:Z106,16,FALSE),4),0)</f>
        <v>0</v>
      </c>
      <c r="Q93" s="11">
        <f>IF(ISNUMBER(VLOOKUP("10.7.1",A4:Z106,17,FALSE)),ROUND(VLOOKUP("10.7.1",A4:Z106,17,FALSE),4),0) + IF(ISNUMBER(VLOOKUP("10.7.2",A4:Z106,17,FALSE)),ROUND(VLOOKUP("10.7.2",A4:Z106,17,FALSE),4),0) + IF(ISNUMBER(VLOOKUP("10.7.3",A4:Z106,17,FALSE)),ROUND(VLOOKUP("10.7.3",A4:Z106,17,FALSE),4),0)</f>
        <v>0</v>
      </c>
      <c r="R93" s="11">
        <f>IF(ISNUMBER(VLOOKUP("10.7.1",A4:Z106,18,FALSE)),ROUND(VLOOKUP("10.7.1",A4:Z106,18,FALSE),4),0) + IF(ISNUMBER(VLOOKUP("10.7.2",A4:Z106,18,FALSE)),ROUND(VLOOKUP("10.7.2",A4:Z106,18,FALSE),4),0) + IF(ISNUMBER(VLOOKUP("10.7.3",A4:Z106,18,FALSE)),ROUND(VLOOKUP("10.7.3",A4:Z106,18,FALSE),4),0)</f>
        <v>0</v>
      </c>
      <c r="S93" s="11">
        <f>IF(ISNUMBER(VLOOKUP("10.7.1",A4:Z106,19,FALSE)),ROUND(VLOOKUP("10.7.1",A4:Z106,19,FALSE),4),0) + IF(ISNUMBER(VLOOKUP("10.7.2",A4:Z106,19,FALSE)),ROUND(VLOOKUP("10.7.2",A4:Z106,19,FALSE),4),0) + IF(ISNUMBER(VLOOKUP("10.7.3",A4:Z106,19,FALSE)),ROUND(VLOOKUP("10.7.3",A4:Z106,19,FALSE),4),0)</f>
        <v>0</v>
      </c>
      <c r="T93" s="11">
        <f>IF(ISNUMBER(VLOOKUP("10.7.1",A4:Z106,20,FALSE)),ROUND(VLOOKUP("10.7.1",A4:Z106,20,FALSE),4),0) + IF(ISNUMBER(VLOOKUP("10.7.2",A4:Z106,20,FALSE)),ROUND(VLOOKUP("10.7.2",A4:Z106,20,FALSE),4),0) + IF(ISNUMBER(VLOOKUP("10.7.3",A4:Z106,20,FALSE)),ROUND(VLOOKUP("10.7.3",A4:Z106,20,FALSE),4),0)</f>
        <v>0</v>
      </c>
      <c r="U93" s="11">
        <f>IF(ISNUMBER(VLOOKUP("10.7.1",A4:Z106,21,FALSE)),ROUND(VLOOKUP("10.7.1",A4:Z106,21,FALSE),4),0) + IF(ISNUMBER(VLOOKUP("10.7.2",A4:Z106,21,FALSE)),ROUND(VLOOKUP("10.7.2",A4:Z106,21,FALSE),4),0) + IF(ISNUMBER(VLOOKUP("10.7.3",A4:Z106,21,FALSE)),ROUND(VLOOKUP("10.7.3",A4:Z106,21,FALSE),4),0)</f>
        <v>0</v>
      </c>
      <c r="V93" s="11">
        <f>IF(ISNUMBER(VLOOKUP("10.7.1",A4:Z106,22,FALSE)),ROUND(VLOOKUP("10.7.1",A4:Z106,22,FALSE),4),0) + IF(ISNUMBER(VLOOKUP("10.7.2",A4:Z106,22,FALSE)),ROUND(VLOOKUP("10.7.2",A4:Z106,22,FALSE),4),0) + IF(ISNUMBER(VLOOKUP("10.7.3",A4:Z106,22,FALSE)),ROUND(VLOOKUP("10.7.3",A4:Z106,22,FALSE),4),0)</f>
        <v>0</v>
      </c>
      <c r="W93" s="11">
        <f>IF(ISNUMBER(VLOOKUP("10.7.1",A4:Z106,23,FALSE)),ROUND(VLOOKUP("10.7.1",A4:Z106,23,FALSE),4),0) + IF(ISNUMBER(VLOOKUP("10.7.2",A4:Z106,23,FALSE)),ROUND(VLOOKUP("10.7.2",A4:Z106,23,FALSE),4),0) + IF(ISNUMBER(VLOOKUP("10.7.3",A4:Z106,23,FALSE)),ROUND(VLOOKUP("10.7.3",A4:Z106,23,FALSE),4),0)</f>
        <v>0</v>
      </c>
      <c r="X93" s="11">
        <f>IF(ISNUMBER(VLOOKUP("10.7.1",A4:Z106,24,FALSE)),ROUND(VLOOKUP("10.7.1",A4:Z106,24,FALSE),4),0) + IF(ISNUMBER(VLOOKUP("10.7.2",A4:Z106,24,FALSE)),ROUND(VLOOKUP("10.7.2",A4:Z106,24,FALSE),4),0) + IF(ISNUMBER(VLOOKUP("10.7.3",A4:Z106,24,FALSE)),ROUND(VLOOKUP("10.7.3",A4:Z106,24,FALSE),4),0)</f>
        <v>0</v>
      </c>
      <c r="Y93" s="11">
        <f>IF(ISNUMBER(VLOOKUP("10.7.1",A4:Z106,25,FALSE)),ROUND(VLOOKUP("10.7.1",A4:Z106,25,FALSE),4),0) + IF(ISNUMBER(VLOOKUP("10.7.2",A4:Z106,25,FALSE)),ROUND(VLOOKUP("10.7.2",A4:Z106,25,FALSE),4),0) + IF(ISNUMBER(VLOOKUP("10.7.3",A4:Z106,25,FALSE)),ROUND(VLOOKUP("10.7.3",A4:Z106,25,FALSE),4),0)</f>
        <v>0</v>
      </c>
      <c r="Z93" s="11">
        <f>IF(ISNUMBER(VLOOKUP("10.7.1",A4:Z106,26,FALSE)),ROUND(VLOOKUP("10.7.1",A4:Z106,26,FALSE),4),0) + IF(ISNUMBER(VLOOKUP("10.7.2",A4:Z106,26,FALSE)),ROUND(VLOOKUP("10.7.2",A4:Z106,26,FALSE),4),0) + IF(ISNUMBER(VLOOKUP("10.7.3",A4:Z106,26,FALSE)),ROUND(VLOOKUP("10.7.3",A4:Z106,26,FALSE),4),0)</f>
        <v>0</v>
      </c>
    </row>
    <row r="94" spans="1:26" ht="27" customHeight="1" x14ac:dyDescent="0.3">
      <c r="A94" s="6" t="s">
        <v>198</v>
      </c>
      <c r="B94" s="7" t="s">
        <v>199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</row>
    <row r="95" spans="1:26" ht="27" customHeight="1" x14ac:dyDescent="0.3">
      <c r="A95" s="6" t="s">
        <v>200</v>
      </c>
      <c r="B95" s="7" t="s">
        <v>201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</row>
    <row r="96" spans="1:26" ht="14.25" customHeight="1" x14ac:dyDescent="0.3">
      <c r="A96" s="6" t="s">
        <v>202</v>
      </c>
      <c r="B96" s="7" t="s">
        <v>203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</row>
    <row r="97" spans="1:26" ht="27" customHeight="1" x14ac:dyDescent="0.3">
      <c r="A97" s="6" t="s">
        <v>204</v>
      </c>
      <c r="B97" s="7" t="s">
        <v>205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</row>
    <row r="98" spans="1:26" ht="14.25" customHeight="1" x14ac:dyDescent="0.3">
      <c r="A98" s="6" t="s">
        <v>206</v>
      </c>
      <c r="B98" s="7" t="s">
        <v>207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</row>
    <row r="99" spans="1:26" ht="27" customHeight="1" x14ac:dyDescent="0.3">
      <c r="A99" s="6" t="s">
        <v>208</v>
      </c>
      <c r="B99" s="7" t="s">
        <v>209</v>
      </c>
      <c r="C99" s="10">
        <v>0</v>
      </c>
      <c r="D99" s="10">
        <v>38691580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</row>
    <row r="100" spans="1:26" ht="27" customHeight="1" x14ac:dyDescent="0.3">
      <c r="A100" s="6" t="s">
        <v>210</v>
      </c>
      <c r="B100" s="7" t="s">
        <v>211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</row>
    <row r="101" spans="1:26" ht="78.599999999999994" customHeight="1" x14ac:dyDescent="0.3">
      <c r="A101" s="6" t="s">
        <v>212</v>
      </c>
      <c r="B101" s="7" t="s">
        <v>213</v>
      </c>
      <c r="C101" s="10">
        <f>IF(ISNUMBER(VLOOKUP("2.1.3.3",A4:Z106,3,FALSE)),ROUND(VLOOKUP("2.1.3.3",A4:Z106,3,FALSE),4),0) + IF(ISNUMBER(VLOOKUP("5.1.1.4",A4:Z106,3,FALSE)),ROUND(VLOOKUP("5.1.1.4",A4:Z106,3,FALSE),4),0)</f>
        <v>0</v>
      </c>
      <c r="D101" s="10">
        <f>IF(ISNUMBER(VLOOKUP("2.1.3.3",A4:Z106,4,FALSE)),ROUND(VLOOKUP("2.1.3.3",A4:Z106,4,FALSE),4),0) + IF(ISNUMBER(VLOOKUP("5.1.1.4",A4:Z106,4,FALSE)),ROUND(VLOOKUP("5.1.1.4",A4:Z106,4,FALSE),4),0)</f>
        <v>0</v>
      </c>
      <c r="E101" s="10">
        <f>IF(ISNUMBER(VLOOKUP("2.1.3.3",A4:Z106,5,FALSE)),ROUND(VLOOKUP("2.1.3.3",A4:Z106,5,FALSE),4),0) + IF(ISNUMBER(VLOOKUP("5.1.1.4",A4:Z106,5,FALSE)),ROUND(VLOOKUP("5.1.1.4",A4:Z106,5,FALSE),4),0)</f>
        <v>0</v>
      </c>
      <c r="F101" s="10">
        <f>IF(ISNUMBER(VLOOKUP("2.1.3.3",A4:Z106,6,FALSE)),ROUND(VLOOKUP("2.1.3.3",A4:Z106,6,FALSE),4),0) + IF(ISNUMBER(VLOOKUP("5.1.1.4",A4:Z106,6,FALSE)),ROUND(VLOOKUP("5.1.1.4",A4:Z106,6,FALSE),4),0)</f>
        <v>0</v>
      </c>
      <c r="G101" s="10">
        <f>IF(ISNUMBER(VLOOKUP("2.1.3.3",A4:Z106,7,FALSE)),ROUND(VLOOKUP("2.1.3.3",A4:Z106,7,FALSE),4),0) + IF(ISNUMBER(VLOOKUP("5.1.1.4",A4:Z106,7,FALSE)),ROUND(VLOOKUP("5.1.1.4",A4:Z106,7,FALSE),4),0)</f>
        <v>0</v>
      </c>
      <c r="H101" s="10">
        <f>IF(ISNUMBER(VLOOKUP("2.1.3.3",A4:Z106,8,FALSE)),ROUND(VLOOKUP("2.1.3.3",A4:Z106,8,FALSE),4),0) + IF(ISNUMBER(VLOOKUP("5.1.1.4",A4:Z106,8,FALSE)),ROUND(VLOOKUP("5.1.1.4",A4:Z106,8,FALSE),4),0)</f>
        <v>0</v>
      </c>
      <c r="I101" s="10">
        <f>IF(ISNUMBER(VLOOKUP("2.1.3.3",A4:Z106,9,FALSE)),ROUND(VLOOKUP("2.1.3.3",A4:Z106,9,FALSE),4),0) + IF(ISNUMBER(VLOOKUP("5.1.1.4",A4:Z106,9,FALSE)),ROUND(VLOOKUP("5.1.1.4",A4:Z106,9,FALSE),4),0)</f>
        <v>0</v>
      </c>
      <c r="J101" s="10">
        <f>IF(ISNUMBER(VLOOKUP("2.1.3.3",A4:Z106,10,FALSE)),ROUND(VLOOKUP("2.1.3.3",A4:Z106,10,FALSE),4),0) + IF(ISNUMBER(VLOOKUP("5.1.1.4",A4:Z106,10,FALSE)),ROUND(VLOOKUP("5.1.1.4",A4:Z106,10,FALSE),4),0)</f>
        <v>0</v>
      </c>
      <c r="K101" s="11">
        <f>IF(ISNUMBER(VLOOKUP("2.1.3.3",A4:Z106,11,FALSE)),ROUND(VLOOKUP("2.1.3.3",A4:Z106,11,FALSE),4),0) + IF(ISNUMBER(VLOOKUP("5.1.1.4",A4:Z106,11,FALSE)),ROUND(VLOOKUP("5.1.1.4",A4:Z106,11,FALSE),4),0)</f>
        <v>0</v>
      </c>
      <c r="L101" s="11">
        <f>IF(ISNUMBER(VLOOKUP("2.1.3.3",A4:Z106,12,FALSE)),ROUND(VLOOKUP("2.1.3.3",A4:Z106,12,FALSE),4),0) + IF(ISNUMBER(VLOOKUP("5.1.1.4",A4:Z106,12,FALSE)),ROUND(VLOOKUP("5.1.1.4",A4:Z106,12,FALSE),4),0)</f>
        <v>0</v>
      </c>
      <c r="M101" s="11">
        <f>IF(ISNUMBER(VLOOKUP("2.1.3.3",A4:Z106,13,FALSE)),ROUND(VLOOKUP("2.1.3.3",A4:Z106,13,FALSE),4),0) + IF(ISNUMBER(VLOOKUP("5.1.1.4",A4:Z106,13,FALSE)),ROUND(VLOOKUP("5.1.1.4",A4:Z106,13,FALSE),4),0)</f>
        <v>0</v>
      </c>
      <c r="N101" s="11">
        <f>IF(ISNUMBER(VLOOKUP("2.1.3.3",A4:Z106,14,FALSE)),ROUND(VLOOKUP("2.1.3.3",A4:Z106,14,FALSE),4),0) + IF(ISNUMBER(VLOOKUP("5.1.1.4",A4:Z106,14,FALSE)),ROUND(VLOOKUP("5.1.1.4",A4:Z106,14,FALSE),4),0)</f>
        <v>0</v>
      </c>
      <c r="O101" s="11">
        <f>IF(ISNUMBER(VLOOKUP("2.1.3.3",A4:Z106,15,FALSE)),ROUND(VLOOKUP("2.1.3.3",A4:Z106,15,FALSE),4),0) + IF(ISNUMBER(VLOOKUP("5.1.1.4",A4:Z106,15,FALSE)),ROUND(VLOOKUP("5.1.1.4",A4:Z106,15,FALSE),4),0)</f>
        <v>0</v>
      </c>
      <c r="P101" s="11">
        <f>IF(ISNUMBER(VLOOKUP("2.1.3.3",A4:Z106,16,FALSE)),ROUND(VLOOKUP("2.1.3.3",A4:Z106,16,FALSE),4),0) + IF(ISNUMBER(VLOOKUP("5.1.1.4",A4:Z106,16,FALSE)),ROUND(VLOOKUP("5.1.1.4",A4:Z106,16,FALSE),4),0)</f>
        <v>0</v>
      </c>
      <c r="Q101" s="11">
        <f>IF(ISNUMBER(VLOOKUP("2.1.3.3",A4:Z106,17,FALSE)),ROUND(VLOOKUP("2.1.3.3",A4:Z106,17,FALSE),4),0) + IF(ISNUMBER(VLOOKUP("5.1.1.4",A4:Z106,17,FALSE)),ROUND(VLOOKUP("5.1.1.4",A4:Z106,17,FALSE),4),0)</f>
        <v>0</v>
      </c>
      <c r="R101" s="11">
        <f>IF(ISNUMBER(VLOOKUP("2.1.3.3",A4:Z106,18,FALSE)),ROUND(VLOOKUP("2.1.3.3",A4:Z106,18,FALSE),4),0) + IF(ISNUMBER(VLOOKUP("5.1.1.4",A4:Z106,18,FALSE)),ROUND(VLOOKUP("5.1.1.4",A4:Z106,18,FALSE),4),0)</f>
        <v>0</v>
      </c>
      <c r="S101" s="11">
        <f>IF(ISNUMBER(VLOOKUP("2.1.3.3",A4:Z106,19,FALSE)),ROUND(VLOOKUP("2.1.3.3",A4:Z106,19,FALSE),4),0) + IF(ISNUMBER(VLOOKUP("5.1.1.4",A4:Z106,19,FALSE)),ROUND(VLOOKUP("5.1.1.4",A4:Z106,19,FALSE),4),0)</f>
        <v>0</v>
      </c>
      <c r="T101" s="11">
        <f>IF(ISNUMBER(VLOOKUP("2.1.3.3",A4:Z106,20,FALSE)),ROUND(VLOOKUP("2.1.3.3",A4:Z106,20,FALSE),4),0) + IF(ISNUMBER(VLOOKUP("5.1.1.4",A4:Z106,20,FALSE)),ROUND(VLOOKUP("5.1.1.4",A4:Z106,20,FALSE),4),0)</f>
        <v>0</v>
      </c>
      <c r="U101" s="11">
        <f>IF(ISNUMBER(VLOOKUP("2.1.3.3",A4:Z106,21,FALSE)),ROUND(VLOOKUP("2.1.3.3",A4:Z106,21,FALSE),4),0) + IF(ISNUMBER(VLOOKUP("5.1.1.4",A4:Z106,21,FALSE)),ROUND(VLOOKUP("5.1.1.4",A4:Z106,21,FALSE),4),0)</f>
        <v>0</v>
      </c>
      <c r="V101" s="11">
        <f>IF(ISNUMBER(VLOOKUP("2.1.3.3",A4:Z106,22,FALSE)),ROUND(VLOOKUP("2.1.3.3",A4:Z106,22,FALSE),4),0) + IF(ISNUMBER(VLOOKUP("5.1.1.4",A4:Z106,22,FALSE)),ROUND(VLOOKUP("5.1.1.4",A4:Z106,22,FALSE),4),0)</f>
        <v>0</v>
      </c>
      <c r="W101" s="11">
        <f>IF(ISNUMBER(VLOOKUP("2.1.3.3",A4:Z106,23,FALSE)),ROUND(VLOOKUP("2.1.3.3",A4:Z106,23,FALSE),4),0) + IF(ISNUMBER(VLOOKUP("5.1.1.4",A4:Z106,23,FALSE)),ROUND(VLOOKUP("5.1.1.4",A4:Z106,23,FALSE),4),0)</f>
        <v>0</v>
      </c>
      <c r="X101" s="11">
        <f>IF(ISNUMBER(VLOOKUP("2.1.3.3",A4:Z106,24,FALSE)),ROUND(VLOOKUP("2.1.3.3",A4:Z106,24,FALSE),4),0) + IF(ISNUMBER(VLOOKUP("5.1.1.4",A4:Z106,24,FALSE)),ROUND(VLOOKUP("5.1.1.4",A4:Z106,24,FALSE),4),0)</f>
        <v>0</v>
      </c>
      <c r="Y101" s="11">
        <f>IF(ISNUMBER(VLOOKUP("2.1.3.3",A4:Z106,25,FALSE)),ROUND(VLOOKUP("2.1.3.3",A4:Z106,25,FALSE),4),0) + IF(ISNUMBER(VLOOKUP("5.1.1.4",A4:Z106,25,FALSE)),ROUND(VLOOKUP("5.1.1.4",A4:Z106,25,FALSE),4),0)</f>
        <v>0</v>
      </c>
      <c r="Z101" s="11">
        <f>IF(ISNUMBER(VLOOKUP("2.1.3.3",A4:Z106,26,FALSE)),ROUND(VLOOKUP("2.1.3.3",A4:Z106,26,FALSE),4),0) + IF(ISNUMBER(VLOOKUP("5.1.1.4",A4:Z106,26,FALSE)),ROUND(VLOOKUP("5.1.1.4",A4:Z106,26,FALSE),4),0)</f>
        <v>0</v>
      </c>
    </row>
    <row r="102" spans="1:26" ht="27" customHeight="1" x14ac:dyDescent="0.3">
      <c r="A102" s="6" t="s">
        <v>214</v>
      </c>
      <c r="B102" s="7" t="s">
        <v>215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</row>
    <row r="103" spans="1:26" ht="20.399999999999999" hidden="1" x14ac:dyDescent="0.3">
      <c r="A103" s="6" t="s">
        <v>216</v>
      </c>
      <c r="B103" s="7" t="s">
        <v>217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</row>
    <row r="104" spans="1:26" hidden="1" x14ac:dyDescent="0.3">
      <c r="A104" s="20" t="s">
        <v>218</v>
      </c>
      <c r="B104" s="21" t="s">
        <v>219</v>
      </c>
      <c r="C104" s="22">
        <f>IF(ISNUMBER(VLOOKUP("3",A4:Z106,3,FALSE)),ROUND(VLOOKUP("3",A4:Z106,3,FALSE),4),0) + IF(ISNUMBER(VLOOKUP("4",A4:Z106,3,FALSE)),ROUND(VLOOKUP("4",A4:Z106,3,FALSE),4),0) - IF(ISNUMBER(VLOOKUP("5",A4:Z106,3,FALSE)),ROUND(VLOOKUP("5",A4:Z106,3,FALSE),4),0)</f>
        <v>-11536257.609999999</v>
      </c>
      <c r="D104" s="22">
        <f>IF(ISNUMBER(VLOOKUP("3",A4:Z106,4,FALSE)),ROUND(VLOOKUP("3",A4:Z106,4,FALSE),4),0) + IF(ISNUMBER(VLOOKUP("4",A4:Z106,4,FALSE)),ROUND(VLOOKUP("4",A4:Z106,4,FALSE),4),0) - IF(ISNUMBER(VLOOKUP("5",A4:Z106,4,FALSE)),ROUND(VLOOKUP("5",A4:Z106,4,FALSE),4),0)</f>
        <v>1826572.0600000005</v>
      </c>
      <c r="E104" s="22">
        <f>IF(ISNUMBER(VLOOKUP("3",A4:Z106,5,FALSE)),ROUND(VLOOKUP("3",A4:Z106,5,FALSE),4),0) + IF(ISNUMBER(VLOOKUP("4",A4:Z106,5,FALSE)),ROUND(VLOOKUP("4",A4:Z106,5,FALSE),4),0) - IF(ISNUMBER(VLOOKUP("5",A4:Z106,5,FALSE)),ROUND(VLOOKUP("5",A4:Z106,5,FALSE),4),0)</f>
        <v>14721116.27</v>
      </c>
      <c r="F104" s="22">
        <f>IF(ISNUMBER(VLOOKUP("3",A4:Z106,6,FALSE)),ROUND(VLOOKUP("3",A4:Z106,6,FALSE),4),0) + IF(ISNUMBER(VLOOKUP("4",A4:Z106,6,FALSE)),ROUND(VLOOKUP("4",A4:Z106,6,FALSE),4),0) - IF(ISNUMBER(VLOOKUP("5",A4:Z106,6,FALSE)),ROUND(VLOOKUP("5",A4:Z106,6,FALSE),4),0)</f>
        <v>21235219.16</v>
      </c>
      <c r="G104" s="22">
        <f>IF(ISNUMBER(VLOOKUP("3",A4:Z106,7,FALSE)),ROUND(VLOOKUP("3",A4:Z106,7,FALSE),4),0) + IF(ISNUMBER(VLOOKUP("4",A4:Z106,7,FALSE)),ROUND(VLOOKUP("4",A4:Z106,7,FALSE),4),0) - IF(ISNUMBER(VLOOKUP("5",A4:Z106,7,FALSE)),ROUND(VLOOKUP("5",A4:Z106,7,FALSE),4),0)</f>
        <v>15936011.359999999</v>
      </c>
      <c r="H104" s="22">
        <f>IF(ISNUMBER(VLOOKUP("3",A4:Z106,8,FALSE)),ROUND(VLOOKUP("3",A4:Z106,8,FALSE),4),0) + IF(ISNUMBER(VLOOKUP("4",A4:Z106,8,FALSE)),ROUND(VLOOKUP("4",A4:Z106,8,FALSE),4),0) - IF(ISNUMBER(VLOOKUP("5",A4:Z106,8,FALSE)),ROUND(VLOOKUP("5",A4:Z106,8,FALSE),4),0)</f>
        <v>15665595.199999999</v>
      </c>
      <c r="I104" s="22">
        <f>IF(ISNUMBER(VLOOKUP("3",A4:Z106,9,FALSE)),ROUND(VLOOKUP("3",A4:Z106,9,FALSE),4),0) + IF(ISNUMBER(VLOOKUP("4",A4:Z106,9,FALSE)),ROUND(VLOOKUP("4",A4:Z106,9,FALSE),4),0) - IF(ISNUMBER(VLOOKUP("5",A4:Z106,9,FALSE)),ROUND(VLOOKUP("5",A4:Z106,9,FALSE),4),0)</f>
        <v>0</v>
      </c>
      <c r="J104" s="22">
        <f>IF(ISNUMBER(VLOOKUP("3",A4:Z106,10,FALSE)),ROUND(VLOOKUP("3",A4:Z106,10,FALSE),4),0) + IF(ISNUMBER(VLOOKUP("4",A4:Z106,10,FALSE)),ROUND(VLOOKUP("4",A4:Z106,10,FALSE),4),0) - IF(ISNUMBER(VLOOKUP("5",A4:Z106,10,FALSE)),ROUND(VLOOKUP("5",A4:Z106,10,FALSE),4),0)</f>
        <v>11989186.969999999</v>
      </c>
      <c r="K104" s="23">
        <f>IF(ISNUMBER(VLOOKUP("3",A4:Z106,11,FALSE)),ROUND(VLOOKUP("3",A4:Z106,11,FALSE),4),0) + IF(ISNUMBER(VLOOKUP("4",A4:Z106,11,FALSE)),ROUND(VLOOKUP("4",A4:Z106,11,FALSE),4),0) - IF(ISNUMBER(VLOOKUP("5",A4:Z106,11,FALSE)),ROUND(VLOOKUP("5",A4:Z106,11,FALSE),4),0)</f>
        <v>-1878107.040000001</v>
      </c>
      <c r="L104" s="23">
        <f>IF(ISNUMBER(VLOOKUP("3",A4:Z106,12,FALSE)),ROUND(VLOOKUP("3",A4:Z106,12,FALSE),4),0) + IF(ISNUMBER(VLOOKUP("4",A4:Z106,12,FALSE)),ROUND(VLOOKUP("4",A4:Z106,12,FALSE),4),0) - IF(ISNUMBER(VLOOKUP("5",A4:Z106,12,FALSE)),ROUND(VLOOKUP("5",A4:Z106,12,FALSE),4),0)</f>
        <v>0</v>
      </c>
      <c r="M104" s="23">
        <f>IF(ISNUMBER(VLOOKUP("3",A4:Z106,13,FALSE)),ROUND(VLOOKUP("3",A4:Z106,13,FALSE),4),0) + IF(ISNUMBER(VLOOKUP("4",A4:Z106,13,FALSE)),ROUND(VLOOKUP("4",A4:Z106,13,FALSE),4),0) - IF(ISNUMBER(VLOOKUP("5",A4:Z106,13,FALSE)),ROUND(VLOOKUP("5",A4:Z106,13,FALSE),4),0)</f>
        <v>0</v>
      </c>
      <c r="N104" s="23">
        <f>IF(ISNUMBER(VLOOKUP("3",A4:Z106,14,FALSE)),ROUND(VLOOKUP("3",A4:Z106,14,FALSE),4),0) + IF(ISNUMBER(VLOOKUP("4",A4:Z106,14,FALSE)),ROUND(VLOOKUP("4",A4:Z106,14,FALSE),4),0) - IF(ISNUMBER(VLOOKUP("5",A4:Z106,14,FALSE)),ROUND(VLOOKUP("5",A4:Z106,14,FALSE),4),0)</f>
        <v>0</v>
      </c>
      <c r="O104" s="23">
        <f>IF(ISNUMBER(VLOOKUP("3",A4:Z106,15,FALSE)),ROUND(VLOOKUP("3",A4:Z106,15,FALSE),4),0) + IF(ISNUMBER(VLOOKUP("4",A4:Z106,15,FALSE)),ROUND(VLOOKUP("4",A4:Z106,15,FALSE),4),0) - IF(ISNUMBER(VLOOKUP("5",A4:Z106,15,FALSE)),ROUND(VLOOKUP("5",A4:Z106,15,FALSE),4),0)</f>
        <v>0</v>
      </c>
      <c r="P104" s="23">
        <f>IF(ISNUMBER(VLOOKUP("3",A4:Z106,16,FALSE)),ROUND(VLOOKUP("3",A4:Z106,16,FALSE),4),0) + IF(ISNUMBER(VLOOKUP("4",A4:Z106,16,FALSE)),ROUND(VLOOKUP("4",A4:Z106,16,FALSE),4),0) - IF(ISNUMBER(VLOOKUP("5",A4:Z106,16,FALSE)),ROUND(VLOOKUP("5",A4:Z106,16,FALSE),4),0)</f>
        <v>0</v>
      </c>
      <c r="Q104" s="23">
        <f>IF(ISNUMBER(VLOOKUP("3",A4:Z106,17,FALSE)),ROUND(VLOOKUP("3",A4:Z106,17,FALSE),4),0) + IF(ISNUMBER(VLOOKUP("4",A4:Z106,17,FALSE)),ROUND(VLOOKUP("4",A4:Z106,17,FALSE),4),0) - IF(ISNUMBER(VLOOKUP("5",A4:Z106,17,FALSE)),ROUND(VLOOKUP("5",A4:Z106,17,FALSE),4),0)</f>
        <v>0</v>
      </c>
      <c r="R104" s="23">
        <f>IF(ISNUMBER(VLOOKUP("3",A4:Z106,18,FALSE)),ROUND(VLOOKUP("3",A4:Z106,18,FALSE),4),0) + IF(ISNUMBER(VLOOKUP("4",A4:Z106,18,FALSE)),ROUND(VLOOKUP("4",A4:Z106,18,FALSE),4),0) - IF(ISNUMBER(VLOOKUP("5",A4:Z106,18,FALSE)),ROUND(VLOOKUP("5",A4:Z106,18,FALSE),4),0)</f>
        <v>0</v>
      </c>
      <c r="S104" s="23">
        <f>IF(ISNUMBER(VLOOKUP("3",A4:Z106,19,FALSE)),ROUND(VLOOKUP("3",A4:Z106,19,FALSE),4),0) + IF(ISNUMBER(VLOOKUP("4",A4:Z106,19,FALSE)),ROUND(VLOOKUP("4",A4:Z106,19,FALSE),4),0) - IF(ISNUMBER(VLOOKUP("5",A4:Z106,19,FALSE)),ROUND(VLOOKUP("5",A4:Z106,19,FALSE),4),0)</f>
        <v>0</v>
      </c>
      <c r="T104" s="23">
        <f>IF(ISNUMBER(VLOOKUP("3",A4:Z106,20,FALSE)),ROUND(VLOOKUP("3",A4:Z106,20,FALSE),4),0) + IF(ISNUMBER(VLOOKUP("4",A4:Z106,20,FALSE)),ROUND(VLOOKUP("4",A4:Z106,20,FALSE),4),0) - IF(ISNUMBER(VLOOKUP("5",A4:Z106,20,FALSE)),ROUND(VLOOKUP("5",A4:Z106,20,FALSE),4),0)</f>
        <v>0</v>
      </c>
      <c r="U104" s="23">
        <f>IF(ISNUMBER(VLOOKUP("3",A4:Z106,21,FALSE)),ROUND(VLOOKUP("3",A4:Z106,21,FALSE),4),0) + IF(ISNUMBER(VLOOKUP("4",A4:Z106,21,FALSE)),ROUND(VLOOKUP("4",A4:Z106,21,FALSE),4),0) - IF(ISNUMBER(VLOOKUP("5",A4:Z106,21,FALSE)),ROUND(VLOOKUP("5",A4:Z106,21,FALSE),4),0)</f>
        <v>0</v>
      </c>
      <c r="V104" s="23">
        <f>IF(ISNUMBER(VLOOKUP("3",A4:Z106,22,FALSE)),ROUND(VLOOKUP("3",A4:Z106,22,FALSE),4),0) + IF(ISNUMBER(VLOOKUP("4",A4:Z106,22,FALSE)),ROUND(VLOOKUP("4",A4:Z106,22,FALSE),4),0) - IF(ISNUMBER(VLOOKUP("5",A4:Z106,22,FALSE)),ROUND(VLOOKUP("5",A4:Z106,22,FALSE),4),0)</f>
        <v>0</v>
      </c>
      <c r="W104" s="23">
        <f>IF(ISNUMBER(VLOOKUP("3",A4:Z106,23,FALSE)),ROUND(VLOOKUP("3",A4:Z106,23,FALSE),4),0) + IF(ISNUMBER(VLOOKUP("4",A4:Z106,23,FALSE)),ROUND(VLOOKUP("4",A4:Z106,23,FALSE),4),0) - IF(ISNUMBER(VLOOKUP("5",A4:Z106,23,FALSE)),ROUND(VLOOKUP("5",A4:Z106,23,FALSE),4),0)</f>
        <v>0</v>
      </c>
      <c r="X104" s="23">
        <f>IF(ISNUMBER(VLOOKUP("3",A4:Z106,24,FALSE)),ROUND(VLOOKUP("3",A4:Z106,24,FALSE),4),0) + IF(ISNUMBER(VLOOKUP("4",A4:Z106,24,FALSE)),ROUND(VLOOKUP("4",A4:Z106,24,FALSE),4),0) - IF(ISNUMBER(VLOOKUP("5",A4:Z106,24,FALSE)),ROUND(VLOOKUP("5",A4:Z106,24,FALSE),4),0)</f>
        <v>0</v>
      </c>
      <c r="Y104" s="23">
        <f>IF(ISNUMBER(VLOOKUP("3",A4:Z106,25,FALSE)),ROUND(VLOOKUP("3",A4:Z106,25,FALSE),4),0) + IF(ISNUMBER(VLOOKUP("4",A4:Z106,25,FALSE)),ROUND(VLOOKUP("4",A4:Z106,25,FALSE),4),0) - IF(ISNUMBER(VLOOKUP("5",A4:Z106,25,FALSE)),ROUND(VLOOKUP("5",A4:Z106,25,FALSE),4),0)</f>
        <v>0</v>
      </c>
      <c r="Z104" s="23">
        <f>IF(ISNUMBER(VLOOKUP("3",A4:Z106,26,FALSE)),ROUND(VLOOKUP("3",A4:Z106,26,FALSE),4),0) + IF(ISNUMBER(VLOOKUP("4",A4:Z106,26,FALSE)),ROUND(VLOOKUP("4",A4:Z106,26,FALSE),4),0) - IF(ISNUMBER(VLOOKUP("5",A4:Z106,26,FALSE)),ROUND(VLOOKUP("5",A4:Z106,26,FALSE),4),0)</f>
        <v>0</v>
      </c>
    </row>
    <row r="105" spans="1:26" hidden="1" x14ac:dyDescent="0.3">
      <c r="A105" s="6" t="s">
        <v>220</v>
      </c>
      <c r="B105" s="7" t="s">
        <v>221</v>
      </c>
      <c r="C105" s="10">
        <f>IF(ISNUMBER(VLOOKUP("1",A4:Z106,3,FALSE)),ROUND(VLOOKUP("1",A4:Z106,3,FALSE),4),0) - (IF(ISNUMBER(VLOOKUP("2.1",A4:Z106,3,FALSE)),ROUND(VLOOKUP("2.1",A4:Z106,3,FALSE),4),0) + IF(ISNUMBER(VLOOKUP("10.1.2",A4:Z106,3,FALSE)),ROUND(VLOOKUP("10.1.2",A4:Z106,3,FALSE),4),0)) + IF(ISNUMBER(VLOOKUP("4",A4:Z106,3,FALSE)),ROUND(VLOOKUP("4",A4:Z106,3,FALSE),4),0) - IF(ISNUMBER(VLOOKUP("5",A4:Z106,3,FALSE)),ROUND(VLOOKUP("5",A4:Z106,3,FALSE),4),0)</f>
        <v>20344516.799999997</v>
      </c>
      <c r="D105" s="10">
        <f>IF(ISNUMBER(VLOOKUP("1",A4:Z106,4,FALSE)),ROUND(VLOOKUP("1",A4:Z106,4,FALSE),4),0) - (IF(ISNUMBER(VLOOKUP("2.1",A4:Z106,4,FALSE)),ROUND(VLOOKUP("2.1",A4:Z106,4,FALSE),4),0) + IF(ISNUMBER(VLOOKUP("10.1.2",A4:Z106,4,FALSE)),ROUND(VLOOKUP("10.1.2",A4:Z106,4,FALSE),4),0)) + IF(ISNUMBER(VLOOKUP("4",A4:Z106,4,FALSE)),ROUND(VLOOKUP("4",A4:Z106,4,FALSE),4),0) - IF(ISNUMBER(VLOOKUP("5",A4:Z106,4,FALSE)),ROUND(VLOOKUP("5",A4:Z106,4,FALSE),4),0)</f>
        <v>12647761.640000008</v>
      </c>
      <c r="E105" s="10">
        <f>IF(ISNUMBER(VLOOKUP("1",A4:Z106,5,FALSE)),ROUND(VLOOKUP("1",A4:Z106,5,FALSE),4),0) - (IF(ISNUMBER(VLOOKUP("2.1",A4:Z106,5,FALSE)),ROUND(VLOOKUP("2.1",A4:Z106,5,FALSE),4),0) + IF(ISNUMBER(VLOOKUP("10.1.2",A4:Z106,5,FALSE)),ROUND(VLOOKUP("10.1.2",A4:Z106,5,FALSE),4),0)) + IF(ISNUMBER(VLOOKUP("4",A4:Z106,5,FALSE)),ROUND(VLOOKUP("4",A4:Z106,5,FALSE),4),0) - IF(ISNUMBER(VLOOKUP("5",A4:Z106,5,FALSE)),ROUND(VLOOKUP("5",A4:Z106,5,FALSE),4),0)</f>
        <v>21549431.070000008</v>
      </c>
      <c r="F105" s="10">
        <f>IF(ISNUMBER(VLOOKUP("1",A4:Z106,6,FALSE)),ROUND(VLOOKUP("1",A4:Z106,6,FALSE),4),0) - (IF(ISNUMBER(VLOOKUP("2.1",A4:Z106,6,FALSE)),ROUND(VLOOKUP("2.1",A4:Z106,6,FALSE),4),0) + IF(ISNUMBER(VLOOKUP("10.1.2",A4:Z106,6,FALSE)),ROUND(VLOOKUP("10.1.2",A4:Z106,6,FALSE),4),0)) + IF(ISNUMBER(VLOOKUP("4",A4:Z106,6,FALSE)),ROUND(VLOOKUP("4",A4:Z106,6,FALSE),4),0) - IF(ISNUMBER(VLOOKUP("5",A4:Z106,6,FALSE)),ROUND(VLOOKUP("5",A4:Z106,6,FALSE),4),0)</f>
        <v>29123022.000000004</v>
      </c>
      <c r="G105" s="10">
        <f>IF(ISNUMBER(VLOOKUP("1",A4:Z106,7,FALSE)),ROUND(VLOOKUP("1",A4:Z106,7,FALSE),4),0) - (IF(ISNUMBER(VLOOKUP("2.1",A4:Z106,7,FALSE)),ROUND(VLOOKUP("2.1",A4:Z106,7,FALSE),4),0) + IF(ISNUMBER(VLOOKUP("10.1.2",A4:Z106,7,FALSE)),ROUND(VLOOKUP("10.1.2",A4:Z106,7,FALSE),4),0)) + IF(ISNUMBER(VLOOKUP("4",A4:Z106,7,FALSE)),ROUND(VLOOKUP("4",A4:Z106,7,FALSE),4),0) - IF(ISNUMBER(VLOOKUP("5",A4:Z106,7,FALSE)),ROUND(VLOOKUP("5",A4:Z106,7,FALSE),4),0)</f>
        <v>25222963.160000015</v>
      </c>
      <c r="H105" s="10">
        <f>IF(ISNUMBER(VLOOKUP("1",A4:Z106,8,FALSE)),ROUND(VLOOKUP("1",A4:Z106,8,FALSE),4),0) - (IF(ISNUMBER(VLOOKUP("2.1",A4:Z106,8,FALSE)),ROUND(VLOOKUP("2.1",A4:Z106,8,FALSE),4),0) + IF(ISNUMBER(VLOOKUP("10.1.2",A4:Z106,8,FALSE)),ROUND(VLOOKUP("10.1.2",A4:Z106,8,FALSE),4),0)) + IF(ISNUMBER(VLOOKUP("4",A4:Z106,8,FALSE)),ROUND(VLOOKUP("4",A4:Z106,8,FALSE),4),0) - IF(ISNUMBER(VLOOKUP("5",A4:Z106,8,FALSE)),ROUND(VLOOKUP("5",A4:Z106,8,FALSE),4),0)</f>
        <v>39107565.590000004</v>
      </c>
      <c r="I105" s="10">
        <f>IF(ISNUMBER(VLOOKUP("1",A4:Z106,9,FALSE)),ROUND(VLOOKUP("1",A4:Z106,9,FALSE),4),0) - (IF(ISNUMBER(VLOOKUP("2.1",A4:Z106,9,FALSE)),ROUND(VLOOKUP("2.1",A4:Z106,9,FALSE),4),0) + IF(ISNUMBER(VLOOKUP("10.1.2",A4:Z106,9,FALSE)),ROUND(VLOOKUP("10.1.2",A4:Z106,9,FALSE),4),0)) + IF(ISNUMBER(VLOOKUP("4",A4:Z106,9,FALSE)),ROUND(VLOOKUP("4",A4:Z106,9,FALSE),4),0) - IF(ISNUMBER(VLOOKUP("5",A4:Z106,9,FALSE)),ROUND(VLOOKUP("5",A4:Z106,9,FALSE),4),0)</f>
        <v>27489076.039999992</v>
      </c>
      <c r="J105" s="10">
        <f>IF(ISNUMBER(VLOOKUP("1",A4:Z106,10,FALSE)),ROUND(VLOOKUP("1",A4:Z106,10,FALSE),4),0) - (IF(ISNUMBER(VLOOKUP("2.1",A4:Z106,10,FALSE)),ROUND(VLOOKUP("2.1",A4:Z106,10,FALSE),4),0) + IF(ISNUMBER(VLOOKUP("10.1.2",A4:Z106,10,FALSE)),ROUND(VLOOKUP("10.1.2",A4:Z106,10,FALSE),4),0)) + IF(ISNUMBER(VLOOKUP("4",A4:Z106,10,FALSE)),ROUND(VLOOKUP("4",A4:Z106,10,FALSE),4),0) - IF(ISNUMBER(VLOOKUP("5",A4:Z106,10,FALSE)),ROUND(VLOOKUP("5",A4:Z106,10,FALSE),4),0)</f>
        <v>16431967.149999976</v>
      </c>
      <c r="K105" s="11">
        <f>IF(ISNUMBER(VLOOKUP("1",A4:Z106,11,FALSE)),ROUND(VLOOKUP("1",A4:Z106,11,FALSE),4),0) - (IF(ISNUMBER(VLOOKUP("2.1",A4:Z106,11,FALSE)),ROUND(VLOOKUP("2.1",A4:Z106,11,FALSE),4),0) + IF(ISNUMBER(VLOOKUP("10.1.2",A4:Z106,11,FALSE)),ROUND(VLOOKUP("10.1.2",A4:Z106,11,FALSE),4),0)) + IF(ISNUMBER(VLOOKUP("4",A4:Z106,11,FALSE)),ROUND(VLOOKUP("4",A4:Z106,11,FALSE),4),0) - IF(ISNUMBER(VLOOKUP("5",A4:Z106,11,FALSE)),ROUND(VLOOKUP("5",A4:Z106,11,FALSE),4),0)</f>
        <v>38602297.920000002</v>
      </c>
      <c r="L105" s="11">
        <f>IF(ISNUMBER(VLOOKUP("1",A4:Z106,12,FALSE)),ROUND(VLOOKUP("1",A4:Z106,12,FALSE),4),0) - (IF(ISNUMBER(VLOOKUP("2.1",A4:Z106,12,FALSE)),ROUND(VLOOKUP("2.1",A4:Z106,12,FALSE),4),0) + IF(ISNUMBER(VLOOKUP("10.1.2",A4:Z106,12,FALSE)),ROUND(VLOOKUP("10.1.2",A4:Z106,12,FALSE),4),0)) + IF(ISNUMBER(VLOOKUP("4",A4:Z106,12,FALSE)),ROUND(VLOOKUP("4",A4:Z106,12,FALSE),4),0) - IF(ISNUMBER(VLOOKUP("5",A4:Z106,12,FALSE)),ROUND(VLOOKUP("5",A4:Z106,12,FALSE),4),0)</f>
        <v>19362126.030000001</v>
      </c>
      <c r="M105" s="11">
        <f>IF(ISNUMBER(VLOOKUP("1",A4:Z106,13,FALSE)),ROUND(VLOOKUP("1",A4:Z106,13,FALSE),4),0) - (IF(ISNUMBER(VLOOKUP("2.1",A4:Z106,13,FALSE)),ROUND(VLOOKUP("2.1",A4:Z106,13,FALSE),4),0) + IF(ISNUMBER(VLOOKUP("10.1.2",A4:Z106,13,FALSE)),ROUND(VLOOKUP("10.1.2",A4:Z106,13,FALSE),4),0)) + IF(ISNUMBER(VLOOKUP("4",A4:Z106,13,FALSE)),ROUND(VLOOKUP("4",A4:Z106,13,FALSE),4),0) - IF(ISNUMBER(VLOOKUP("5",A4:Z106,13,FALSE)),ROUND(VLOOKUP("5",A4:Z106,13,FALSE),4),0)</f>
        <v>47144448.570000015</v>
      </c>
      <c r="N105" s="11">
        <f>IF(ISNUMBER(VLOOKUP("1",A4:Z106,14,FALSE)),ROUND(VLOOKUP("1",A4:Z106,14,FALSE),4),0) - (IF(ISNUMBER(VLOOKUP("2.1",A4:Z106,14,FALSE)),ROUND(VLOOKUP("2.1",A4:Z106,14,FALSE),4),0) + IF(ISNUMBER(VLOOKUP("10.1.2",A4:Z106,14,FALSE)),ROUND(VLOOKUP("10.1.2",A4:Z106,14,FALSE),4),0)) + IF(ISNUMBER(VLOOKUP("4",A4:Z106,14,FALSE)),ROUND(VLOOKUP("4",A4:Z106,14,FALSE),4),0) - IF(ISNUMBER(VLOOKUP("5",A4:Z106,14,FALSE)),ROUND(VLOOKUP("5",A4:Z106,14,FALSE),4),0)</f>
        <v>7052739</v>
      </c>
      <c r="O105" s="11">
        <f>IF(ISNUMBER(VLOOKUP("1",A4:Z106,15,FALSE)),ROUND(VLOOKUP("1",A4:Z106,15,FALSE),4),0) - (IF(ISNUMBER(VLOOKUP("2.1",A4:Z106,15,FALSE)),ROUND(VLOOKUP("2.1",A4:Z106,15,FALSE),4),0) + IF(ISNUMBER(VLOOKUP("10.1.2",A4:Z106,15,FALSE)),ROUND(VLOOKUP("10.1.2",A4:Z106,15,FALSE),4),0)) + IF(ISNUMBER(VLOOKUP("4",A4:Z106,15,FALSE)),ROUND(VLOOKUP("4",A4:Z106,15,FALSE),4),0) - IF(ISNUMBER(VLOOKUP("5",A4:Z106,15,FALSE)),ROUND(VLOOKUP("5",A4:Z106,15,FALSE),4),0)</f>
        <v>9200265</v>
      </c>
      <c r="P105" s="11">
        <f>IF(ISNUMBER(VLOOKUP("1",A4:Z106,16,FALSE)),ROUND(VLOOKUP("1",A4:Z106,16,FALSE),4),0) - (IF(ISNUMBER(VLOOKUP("2.1",A4:Z106,16,FALSE)),ROUND(VLOOKUP("2.1",A4:Z106,16,FALSE),4),0) + IF(ISNUMBER(VLOOKUP("10.1.2",A4:Z106,16,FALSE)),ROUND(VLOOKUP("10.1.2",A4:Z106,16,FALSE),4),0)) + IF(ISNUMBER(VLOOKUP("4",A4:Z106,16,FALSE)),ROUND(VLOOKUP("4",A4:Z106,16,FALSE),4),0) - IF(ISNUMBER(VLOOKUP("5",A4:Z106,16,FALSE)),ROUND(VLOOKUP("5",A4:Z106,16,FALSE),4),0)</f>
        <v>10124005</v>
      </c>
      <c r="Q105" s="11">
        <f>IF(ISNUMBER(VLOOKUP("1",A4:Z106,17,FALSE)),ROUND(VLOOKUP("1",A4:Z106,17,FALSE),4),0) - (IF(ISNUMBER(VLOOKUP("2.1",A4:Z106,17,FALSE)),ROUND(VLOOKUP("2.1",A4:Z106,17,FALSE),4),0) + IF(ISNUMBER(VLOOKUP("10.1.2",A4:Z106,17,FALSE)),ROUND(VLOOKUP("10.1.2",A4:Z106,17,FALSE),4),0)) + IF(ISNUMBER(VLOOKUP("4",A4:Z106,17,FALSE)),ROUND(VLOOKUP("4",A4:Z106,17,FALSE),4),0) - IF(ISNUMBER(VLOOKUP("5",A4:Z106,17,FALSE)),ROUND(VLOOKUP("5",A4:Z106,17,FALSE),4),0)</f>
        <v>10303543</v>
      </c>
      <c r="R105" s="11">
        <f>IF(ISNUMBER(VLOOKUP("1",A4:Z106,18,FALSE)),ROUND(VLOOKUP("1",A4:Z106,18,FALSE),4),0) - (IF(ISNUMBER(VLOOKUP("2.1",A4:Z106,18,FALSE)),ROUND(VLOOKUP("2.1",A4:Z106,18,FALSE),4),0) + IF(ISNUMBER(VLOOKUP("10.1.2",A4:Z106,18,FALSE)),ROUND(VLOOKUP("10.1.2",A4:Z106,18,FALSE),4),0)) + IF(ISNUMBER(VLOOKUP("4",A4:Z106,18,FALSE)),ROUND(VLOOKUP("4",A4:Z106,18,FALSE),4),0) - IF(ISNUMBER(VLOOKUP("5",A4:Z106,18,FALSE)),ROUND(VLOOKUP("5",A4:Z106,18,FALSE),4),0)</f>
        <v>10700905</v>
      </c>
      <c r="S105" s="11">
        <f>IF(ISNUMBER(VLOOKUP("1",A4:Z106,19,FALSE)),ROUND(VLOOKUP("1",A4:Z106,19,FALSE),4),0) - (IF(ISNUMBER(VLOOKUP("2.1",A4:Z106,19,FALSE)),ROUND(VLOOKUP("2.1",A4:Z106,19,FALSE),4),0) + IF(ISNUMBER(VLOOKUP("10.1.2",A4:Z106,19,FALSE)),ROUND(VLOOKUP("10.1.2",A4:Z106,19,FALSE),4),0)) + IF(ISNUMBER(VLOOKUP("4",A4:Z106,19,FALSE)),ROUND(VLOOKUP("4",A4:Z106,19,FALSE),4),0) - IF(ISNUMBER(VLOOKUP("5",A4:Z106,19,FALSE)),ROUND(VLOOKUP("5",A4:Z106,19,FALSE),4),0)</f>
        <v>11620292</v>
      </c>
      <c r="T105" s="11">
        <f>IF(ISNUMBER(VLOOKUP("1",A4:Z106,20,FALSE)),ROUND(VLOOKUP("1",A4:Z106,20,FALSE),4),0) - (IF(ISNUMBER(VLOOKUP("2.1",A4:Z106,20,FALSE)),ROUND(VLOOKUP("2.1",A4:Z106,20,FALSE),4),0) + IF(ISNUMBER(VLOOKUP("10.1.2",A4:Z106,20,FALSE)),ROUND(VLOOKUP("10.1.2",A4:Z106,20,FALSE),4),0)) + IF(ISNUMBER(VLOOKUP("4",A4:Z106,20,FALSE)),ROUND(VLOOKUP("4",A4:Z106,20,FALSE),4),0) - IF(ISNUMBER(VLOOKUP("5",A4:Z106,20,FALSE)),ROUND(VLOOKUP("5",A4:Z106,20,FALSE),4),0)</f>
        <v>12581440</v>
      </c>
      <c r="U105" s="11">
        <f>IF(ISNUMBER(VLOOKUP("1",A4:Z106,21,FALSE)),ROUND(VLOOKUP("1",A4:Z106,21,FALSE),4),0) - (IF(ISNUMBER(VLOOKUP("2.1",A4:Z106,21,FALSE)),ROUND(VLOOKUP("2.1",A4:Z106,21,FALSE),4),0) + IF(ISNUMBER(VLOOKUP("10.1.2",A4:Z106,21,FALSE)),ROUND(VLOOKUP("10.1.2",A4:Z106,21,FALSE),4),0)) + IF(ISNUMBER(VLOOKUP("4",A4:Z106,21,FALSE)),ROUND(VLOOKUP("4",A4:Z106,21,FALSE),4),0) - IF(ISNUMBER(VLOOKUP("5",A4:Z106,21,FALSE)),ROUND(VLOOKUP("5",A4:Z106,21,FALSE),4),0)</f>
        <v>8786275</v>
      </c>
      <c r="V105" s="11">
        <f>IF(ISNUMBER(VLOOKUP("1",A4:Z106,22,FALSE)),ROUND(VLOOKUP("1",A4:Z106,22,FALSE),4),0) - (IF(ISNUMBER(VLOOKUP("2.1",A4:Z106,22,FALSE)),ROUND(VLOOKUP("2.1",A4:Z106,22,FALSE),4),0) + IF(ISNUMBER(VLOOKUP("10.1.2",A4:Z106,22,FALSE)),ROUND(VLOOKUP("10.1.2",A4:Z106,22,FALSE),4),0)) + IF(ISNUMBER(VLOOKUP("4",A4:Z106,22,FALSE)),ROUND(VLOOKUP("4",A4:Z106,22,FALSE),4),0) - IF(ISNUMBER(VLOOKUP("5",A4:Z106,22,FALSE)),ROUND(VLOOKUP("5",A4:Z106,22,FALSE),4),0)</f>
        <v>10674461</v>
      </c>
      <c r="W105" s="11">
        <f>IF(ISNUMBER(VLOOKUP("1",A4:Z106,23,FALSE)),ROUND(VLOOKUP("1",A4:Z106,23,FALSE),4),0) - (IF(ISNUMBER(VLOOKUP("2.1",A4:Z106,23,FALSE)),ROUND(VLOOKUP("2.1",A4:Z106,23,FALSE),4),0) + IF(ISNUMBER(VLOOKUP("10.1.2",A4:Z106,23,FALSE)),ROUND(VLOOKUP("10.1.2",A4:Z106,23,FALSE),4),0)) + IF(ISNUMBER(VLOOKUP("4",A4:Z106,23,FALSE)),ROUND(VLOOKUP("4",A4:Z106,23,FALSE),4),0) - IF(ISNUMBER(VLOOKUP("5",A4:Z106,23,FALSE)),ROUND(VLOOKUP("5",A4:Z106,23,FALSE),4),0)</f>
        <v>14502862</v>
      </c>
      <c r="X105" s="11">
        <f>IF(ISNUMBER(VLOOKUP("1",A4:Z106,24,FALSE)),ROUND(VLOOKUP("1",A4:Z106,24,FALSE),4),0) - (IF(ISNUMBER(VLOOKUP("2.1",A4:Z106,24,FALSE)),ROUND(VLOOKUP("2.1",A4:Z106,24,FALSE),4),0) + IF(ISNUMBER(VLOOKUP("10.1.2",A4:Z106,24,FALSE)),ROUND(VLOOKUP("10.1.2",A4:Z106,24,FALSE),4),0)) + IF(ISNUMBER(VLOOKUP("4",A4:Z106,24,FALSE)),ROUND(VLOOKUP("4",A4:Z106,24,FALSE),4),0) - IF(ISNUMBER(VLOOKUP("5",A4:Z106,24,FALSE)),ROUND(VLOOKUP("5",A4:Z106,24,FALSE),4),0)</f>
        <v>12485282</v>
      </c>
      <c r="Y105" s="11">
        <f>IF(ISNUMBER(VLOOKUP("1",A4:Z106,25,FALSE)),ROUND(VLOOKUP("1",A4:Z106,25,FALSE),4),0) - (IF(ISNUMBER(VLOOKUP("2.1",A4:Z106,25,FALSE)),ROUND(VLOOKUP("2.1",A4:Z106,25,FALSE),4),0) + IF(ISNUMBER(VLOOKUP("10.1.2",A4:Z106,25,FALSE)),ROUND(VLOOKUP("10.1.2",A4:Z106,25,FALSE),4),0)) + IF(ISNUMBER(VLOOKUP("4",A4:Z106,25,FALSE)),ROUND(VLOOKUP("4",A4:Z106,25,FALSE),4),0) - IF(ISNUMBER(VLOOKUP("5",A4:Z106,25,FALSE)),ROUND(VLOOKUP("5",A4:Z106,25,FALSE),4),0)</f>
        <v>14589747</v>
      </c>
      <c r="Z105" s="11">
        <f>IF(ISNUMBER(VLOOKUP("1",A4:Z106,26,FALSE)),ROUND(VLOOKUP("1",A4:Z106,26,FALSE),4),0) - (IF(ISNUMBER(VLOOKUP("2.1",A4:Z106,26,FALSE)),ROUND(VLOOKUP("2.1",A4:Z106,26,FALSE),4),0) + IF(ISNUMBER(VLOOKUP("10.1.2",A4:Z106,26,FALSE)),ROUND(VLOOKUP("10.1.2",A4:Z106,26,FALSE),4),0)) + IF(ISNUMBER(VLOOKUP("4",A4:Z106,26,FALSE)),ROUND(VLOOKUP("4",A4:Z106,26,FALSE),4),0) - IF(ISNUMBER(VLOOKUP("5",A4:Z106,26,FALSE)),ROUND(VLOOKUP("5",A4:Z106,26,FALSE),4),0)</f>
        <v>17978277.390000001</v>
      </c>
    </row>
  </sheetData>
  <mergeCells count="4">
    <mergeCell ref="C58:Z58"/>
    <mergeCell ref="C62:Z62"/>
    <mergeCell ref="C71:Z71"/>
    <mergeCell ref="C84:Z84"/>
  </mergeCells>
  <conditionalFormatting sqref="B33:Z33">
    <cfRule type="beginsWith" dxfId="5" priority="1" operator="beginsWith" text="Tak">
      <formula>LEFT(B33,LEN("Tak"))="Tak"</formula>
    </cfRule>
    <cfRule type="beginsWith" dxfId="4" priority="2" operator="beginsWith" text="Nie">
      <formula>LEFT(B33,LEN("Nie"))="Nie"</formula>
    </cfRule>
  </conditionalFormatting>
  <conditionalFormatting sqref="B68:Z68">
    <cfRule type="beginsWith" dxfId="3" priority="3" operator="beginsWith" text="Tak">
      <formula>LEFT(B68,LEN("Tak"))="Tak"</formula>
    </cfRule>
    <cfRule type="beginsWith" dxfId="2" priority="4" operator="beginsWith" text="Nie">
      <formula>LEFT(B68,LEN("Nie"))="Nie"</formula>
    </cfRule>
  </conditionalFormatting>
  <conditionalFormatting sqref="B69:Z69">
    <cfRule type="beginsWith" dxfId="1" priority="5" operator="beginsWith" text="Tak">
      <formula>LEFT(B69,LEN("Tak"))="Tak"</formula>
    </cfRule>
    <cfRule type="beginsWith" dxfId="0" priority="6" operator="beginsWith" text="Nie">
      <formula>LEFT(B69,LEN("Nie"))="Nie"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Załącznik 1</dc:subject>
  <dc:creator>http://www.publink.com/wpf</dc:creator>
  <cp:keywords>wpf, wieloletnia prognoza finansowa, wpf asystent</cp:keywords>
  <cp:lastModifiedBy>Sylwia</cp:lastModifiedBy>
  <cp:lastPrinted>2025-02-26T12:22:14Z</cp:lastPrinted>
  <dcterms:created xsi:type="dcterms:W3CDTF">2025-02-26T09:47:57Z</dcterms:created>
  <dcterms:modified xsi:type="dcterms:W3CDTF">2025-02-26T12:25:03Z</dcterms:modified>
</cp:coreProperties>
</file>